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ele\Desktop\CONVENIOS\3 - SISMOB\UBS Nova\2025\Licitação\"/>
    </mc:Choice>
  </mc:AlternateContent>
  <bookViews>
    <workbookView xWindow="0" yWindow="0" windowWidth="28800" windowHeight="12435"/>
  </bookViews>
  <sheets>
    <sheet name="ORC. SINTÉTICO" sheetId="1" r:id="rId1"/>
  </sheets>
  <externalReferences>
    <externalReference r:id="rId2"/>
    <externalReference r:id="rId3"/>
  </externalReferences>
  <definedNames>
    <definedName name="_AA100000">#REF!</definedName>
    <definedName name="_Fill">#REF!</definedName>
    <definedName name="_xlnm._FilterDatabase" localSheetId="0" hidden="1">'ORC. SINTÉTICO'!$A$20:$AG$450</definedName>
    <definedName name="_LOC10">#REF!</definedName>
    <definedName name="_LOC11">#REF!</definedName>
    <definedName name="_LOC12">#REF!</definedName>
    <definedName name="_LOC13">#REF!</definedName>
    <definedName name="_LOC14">#REF!</definedName>
    <definedName name="_LOC15">#REF!</definedName>
    <definedName name="_LOC16">#REF!</definedName>
    <definedName name="_LOC17">#REF!</definedName>
    <definedName name="_LOC18">#REF!</definedName>
    <definedName name="_LOC19">#REF!</definedName>
    <definedName name="_LOC2">#REF!</definedName>
    <definedName name="_LOC20">#REF!</definedName>
    <definedName name="_LOC21">#REF!</definedName>
    <definedName name="_LOC22">#REF!</definedName>
    <definedName name="_LOC23">#REF!</definedName>
    <definedName name="_LOC24">#REF!</definedName>
    <definedName name="_LOC25">#REF!</definedName>
    <definedName name="_LOC26">#REF!</definedName>
    <definedName name="_LOC27">#REF!</definedName>
    <definedName name="_LOC28">#REF!</definedName>
    <definedName name="_LOC29">#REF!</definedName>
    <definedName name="_LOC3">#REF!</definedName>
    <definedName name="_LOC30">#REF!</definedName>
    <definedName name="_LOC31">#REF!</definedName>
    <definedName name="_LOC32">#REF!</definedName>
    <definedName name="_LOC33">#REF!</definedName>
    <definedName name="_LOC34">#REF!</definedName>
    <definedName name="_LOC35">#REF!</definedName>
    <definedName name="_LOC36">#REF!</definedName>
    <definedName name="_LOC37">#REF!</definedName>
    <definedName name="_LOC38">#REF!</definedName>
    <definedName name="_LOC39">#REF!</definedName>
    <definedName name="_LOC4">#REF!</definedName>
    <definedName name="_LOC40">#REF!</definedName>
    <definedName name="_LOC41">#REF!</definedName>
    <definedName name="_LOC42">#REF!</definedName>
    <definedName name="_LOC5">#REF!</definedName>
    <definedName name="_LOC6">#REF!</definedName>
    <definedName name="_LOC7">#REF!</definedName>
    <definedName name="_LOC8">#REF!</definedName>
    <definedName name="_LOC9">#REF!</definedName>
    <definedName name="_R">#REF!</definedName>
    <definedName name="AAA">#REF!</definedName>
    <definedName name="AC">#REF!</definedName>
    <definedName name="AL">#REF!</definedName>
    <definedName name="Área_impressão_IM">#REF!</definedName>
    <definedName name="B.01.05.10.10">#REF!</definedName>
    <definedName name="CD">#REF!</definedName>
    <definedName name="CP">#REF!</definedName>
    <definedName name="CS">#REF!</definedName>
    <definedName name="CT">#REF!</definedName>
    <definedName name="EV">#REF!</definedName>
    <definedName name="IC">#REF!</definedName>
    <definedName name="IMPR">#REF!</definedName>
    <definedName name="IMPR1">#REF!</definedName>
    <definedName name="IS">#REF!</definedName>
    <definedName name="LB">#REF!</definedName>
    <definedName name="MACROS">#REF!</definedName>
    <definedName name="Preço_Unit_Chácaras">#REF!</definedName>
    <definedName name="Print_Area_MI">#REF!</definedName>
    <definedName name="PV">#REF!</definedName>
    <definedName name="Quant_Chácaras">#REF!</definedName>
    <definedName name="Receita_Chácaras">#REF!</definedName>
    <definedName name="solver_opt">#REF!</definedName>
    <definedName name="solver_tmp">#REF!</definedName>
    <definedName name="t_meso_2">#REF!</definedName>
    <definedName name="t_super_est_2">#REF!</definedName>
    <definedName name="TESTE">#REF!</definedName>
    <definedName name="_xlnm.Print_Titles" localSheetId="0">'ORC. SINTÉTICO'!$2:$20</definedName>
    <definedName name="tot_infra_1">#REF!</definedName>
    <definedName name="TOTAL_GERAL">#REF!</definedName>
    <definedName name="TOTALCRONOGRA">#REF!</definedName>
    <definedName name="wrn.COLETAS._.DE._.EQUIPAMENTOS.">#REF!</definedName>
    <definedName name="wrn.COLETAS._.DE._.MATERIAIS.">#REF!</definedName>
    <definedName name="wrn.COMP._.EQUIP.">#REF!</definedName>
    <definedName name="wrn.COMP._.MATERIAIS.">#REF!</definedName>
    <definedName name="wrn.PNEUS.">#REF!</definedName>
    <definedName name="Z_12538664_79C6_4AAD_BD81_5363A5F496D7_.wvu.PrintArea" localSheetId="0">'ORC. SINTÉTICO'!$B$2:$L$282</definedName>
    <definedName name="Z_12538664_79C6_4AAD_BD81_5363A5F496D7_.wvu.Rows" localSheetId="0">'ORC. SINTÉTICO'!$286:$290</definedName>
    <definedName name="Z_18D9C5C8_6EC0_4507_ACF1_BEE4D54D4AE8_.wvu.PrintArea" localSheetId="0">'ORC. SINTÉTICO'!$B$2:$L$282</definedName>
    <definedName name="Z_18D9C5C8_6EC0_4507_ACF1_BEE4D54D4AE8_.wvu.Rows" localSheetId="0">'ORC. SINTÉTICO'!$286:$290</definedName>
    <definedName name="Z_CA485D5E_5C09_4636_B7A6_10EC2B405CCB_.wvu.PrintArea" localSheetId="0">'ORC. SINTÉTICO'!$B$1:$L$285</definedName>
    <definedName name="Z_CA485D5E_5C09_4636_B7A6_10EC2B405CCB_.wvu.Rows" localSheetId="0">'ORC. SINTÉTICO'!$286:$290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72" i="1" l="1"/>
  <c r="O472" i="1" s="1"/>
  <c r="J471" i="1"/>
  <c r="I471" i="1"/>
  <c r="K471" i="1" s="1"/>
  <c r="J470" i="1"/>
  <c r="I470" i="1"/>
  <c r="K470" i="1" s="1"/>
  <c r="G470" i="1"/>
  <c r="J469" i="1"/>
  <c r="I469" i="1"/>
  <c r="K469" i="1" s="1"/>
  <c r="J468" i="1"/>
  <c r="I468" i="1"/>
  <c r="K468" i="1" s="1"/>
  <c r="G468" i="1"/>
  <c r="J467" i="1"/>
  <c r="I467" i="1"/>
  <c r="K467" i="1" s="1"/>
  <c r="J466" i="1"/>
  <c r="I466" i="1"/>
  <c r="K466" i="1" s="1"/>
  <c r="G466" i="1"/>
  <c r="L465" i="1"/>
  <c r="J465" i="1"/>
  <c r="I465" i="1"/>
  <c r="K465" i="1" s="1"/>
  <c r="G465" i="1"/>
  <c r="M464" i="1"/>
  <c r="J464" i="1"/>
  <c r="I464" i="1"/>
  <c r="K464" i="1" s="1"/>
  <c r="G464" i="1"/>
  <c r="L464" i="1" s="1"/>
  <c r="J463" i="1"/>
  <c r="I463" i="1"/>
  <c r="G463" i="1"/>
  <c r="M463" i="1" s="1"/>
  <c r="N462" i="1"/>
  <c r="O462" i="1" s="1"/>
  <c r="M462" i="1"/>
  <c r="J462" i="1"/>
  <c r="I462" i="1"/>
  <c r="K462" i="1" s="1"/>
  <c r="G462" i="1"/>
  <c r="L462" i="1" s="1"/>
  <c r="M461" i="1"/>
  <c r="J461" i="1"/>
  <c r="I461" i="1"/>
  <c r="G461" i="1"/>
  <c r="J460" i="1"/>
  <c r="I460" i="1"/>
  <c r="K460" i="1" s="1"/>
  <c r="G460" i="1"/>
  <c r="J459" i="1"/>
  <c r="I459" i="1"/>
  <c r="K459" i="1" s="1"/>
  <c r="J458" i="1"/>
  <c r="I458" i="1"/>
  <c r="K458" i="1" s="1"/>
  <c r="G458" i="1"/>
  <c r="L457" i="1"/>
  <c r="N457" i="1" s="1"/>
  <c r="O457" i="1" s="1"/>
  <c r="J457" i="1"/>
  <c r="I457" i="1"/>
  <c r="K457" i="1" s="1"/>
  <c r="G457" i="1"/>
  <c r="M457" i="1" s="1"/>
  <c r="M456" i="1"/>
  <c r="J456" i="1"/>
  <c r="I456" i="1"/>
  <c r="K456" i="1" s="1"/>
  <c r="G456" i="1"/>
  <c r="L456" i="1" s="1"/>
  <c r="N456" i="1" s="1"/>
  <c r="J455" i="1"/>
  <c r="I455" i="1"/>
  <c r="K455" i="1" s="1"/>
  <c r="G455" i="1"/>
  <c r="M455" i="1" s="1"/>
  <c r="M454" i="1"/>
  <c r="N454" i="1" s="1"/>
  <c r="O454" i="1" s="1"/>
  <c r="J454" i="1"/>
  <c r="I454" i="1"/>
  <c r="K454" i="1" s="1"/>
  <c r="G454" i="1"/>
  <c r="L454" i="1" s="1"/>
  <c r="M453" i="1"/>
  <c r="J453" i="1"/>
  <c r="I453" i="1"/>
  <c r="G453" i="1"/>
  <c r="L452" i="1"/>
  <c r="N452" i="1" s="1"/>
  <c r="O452" i="1" s="1"/>
  <c r="J452" i="1"/>
  <c r="I452" i="1"/>
  <c r="K452" i="1" s="1"/>
  <c r="G452" i="1"/>
  <c r="M452" i="1" s="1"/>
  <c r="M451" i="1"/>
  <c r="J451" i="1"/>
  <c r="I451" i="1"/>
  <c r="J449" i="1"/>
  <c r="I449" i="1"/>
  <c r="K449" i="1" s="1"/>
  <c r="G449" i="1"/>
  <c r="L447" i="1"/>
  <c r="N447" i="1" s="1"/>
  <c r="J447" i="1"/>
  <c r="M447" i="1" s="1"/>
  <c r="I447" i="1"/>
  <c r="K447" i="1" s="1"/>
  <c r="M445" i="1"/>
  <c r="K445" i="1"/>
  <c r="J445" i="1"/>
  <c r="I445" i="1"/>
  <c r="L445" i="1" s="1"/>
  <c r="N445" i="1" s="1"/>
  <c r="N442" i="1"/>
  <c r="O442" i="1" s="1"/>
  <c r="M442" i="1"/>
  <c r="L442" i="1"/>
  <c r="K442" i="1"/>
  <c r="J442" i="1"/>
  <c r="I442" i="1"/>
  <c r="M441" i="1"/>
  <c r="L441" i="1"/>
  <c r="N441" i="1" s="1"/>
  <c r="O441" i="1" s="1"/>
  <c r="K441" i="1"/>
  <c r="J441" i="1"/>
  <c r="I441" i="1"/>
  <c r="M440" i="1"/>
  <c r="J440" i="1"/>
  <c r="I440" i="1"/>
  <c r="L439" i="1"/>
  <c r="J439" i="1"/>
  <c r="I439" i="1"/>
  <c r="K438" i="1"/>
  <c r="J438" i="1"/>
  <c r="M438" i="1" s="1"/>
  <c r="I438" i="1"/>
  <c r="L438" i="1" s="1"/>
  <c r="N438" i="1" s="1"/>
  <c r="O438" i="1" s="1"/>
  <c r="J437" i="1"/>
  <c r="M437" i="1" s="1"/>
  <c r="N437" i="1" s="1"/>
  <c r="O437" i="1" s="1"/>
  <c r="I437" i="1"/>
  <c r="L437" i="1" s="1"/>
  <c r="J436" i="1"/>
  <c r="M436" i="1" s="1"/>
  <c r="I436" i="1"/>
  <c r="H436" i="1"/>
  <c r="M435" i="1"/>
  <c r="J435" i="1"/>
  <c r="I435" i="1"/>
  <c r="O434" i="1"/>
  <c r="N434" i="1"/>
  <c r="M434" i="1"/>
  <c r="L434" i="1"/>
  <c r="J434" i="1"/>
  <c r="I434" i="1"/>
  <c r="K434" i="1" s="1"/>
  <c r="M433" i="1"/>
  <c r="L433" i="1"/>
  <c r="N433" i="1" s="1"/>
  <c r="O433" i="1" s="1"/>
  <c r="K433" i="1"/>
  <c r="J433" i="1"/>
  <c r="I433" i="1"/>
  <c r="M432" i="1"/>
  <c r="L432" i="1"/>
  <c r="N432" i="1" s="1"/>
  <c r="K432" i="1"/>
  <c r="J432" i="1"/>
  <c r="I432" i="1"/>
  <c r="O430" i="1"/>
  <c r="M430" i="1"/>
  <c r="L430" i="1"/>
  <c r="N430" i="1" s="1"/>
  <c r="K430" i="1"/>
  <c r="J430" i="1"/>
  <c r="I430" i="1"/>
  <c r="N429" i="1"/>
  <c r="O429" i="1" s="1"/>
  <c r="L429" i="1"/>
  <c r="K429" i="1"/>
  <c r="J429" i="1"/>
  <c r="M429" i="1" s="1"/>
  <c r="I429" i="1"/>
  <c r="J428" i="1"/>
  <c r="M428" i="1" s="1"/>
  <c r="I428" i="1"/>
  <c r="M427" i="1"/>
  <c r="K427" i="1"/>
  <c r="J427" i="1"/>
  <c r="I427" i="1"/>
  <c r="L427" i="1" s="1"/>
  <c r="L426" i="1"/>
  <c r="J426" i="1"/>
  <c r="I426" i="1"/>
  <c r="K425" i="1"/>
  <c r="J425" i="1"/>
  <c r="M425" i="1" s="1"/>
  <c r="I425" i="1"/>
  <c r="L425" i="1" s="1"/>
  <c r="N425" i="1" s="1"/>
  <c r="O425" i="1" s="1"/>
  <c r="J424" i="1"/>
  <c r="M424" i="1" s="1"/>
  <c r="I424" i="1"/>
  <c r="M423" i="1"/>
  <c r="L423" i="1"/>
  <c r="N423" i="1" s="1"/>
  <c r="O423" i="1" s="1"/>
  <c r="J423" i="1"/>
  <c r="I423" i="1"/>
  <c r="K423" i="1" s="1"/>
  <c r="J421" i="1"/>
  <c r="M421" i="1" s="1"/>
  <c r="I421" i="1"/>
  <c r="M420" i="1"/>
  <c r="L420" i="1"/>
  <c r="N420" i="1" s="1"/>
  <c r="O420" i="1" s="1"/>
  <c r="J420" i="1"/>
  <c r="I420" i="1"/>
  <c r="K420" i="1" s="1"/>
  <c r="O419" i="1"/>
  <c r="N419" i="1"/>
  <c r="M419" i="1"/>
  <c r="L419" i="1"/>
  <c r="K419" i="1"/>
  <c r="J419" i="1"/>
  <c r="I419" i="1"/>
  <c r="M418" i="1"/>
  <c r="N418" i="1" s="1"/>
  <c r="L418" i="1"/>
  <c r="K418" i="1"/>
  <c r="J418" i="1"/>
  <c r="I418" i="1"/>
  <c r="N416" i="1"/>
  <c r="M416" i="1"/>
  <c r="L416" i="1"/>
  <c r="K416" i="1"/>
  <c r="J416" i="1"/>
  <c r="I416" i="1"/>
  <c r="M415" i="1"/>
  <c r="L415" i="1"/>
  <c r="J415" i="1"/>
  <c r="K415" i="1" s="1"/>
  <c r="I415" i="1"/>
  <c r="L414" i="1"/>
  <c r="J414" i="1"/>
  <c r="M414" i="1" s="1"/>
  <c r="N414" i="1" s="1"/>
  <c r="O414" i="1" s="1"/>
  <c r="I414" i="1"/>
  <c r="M413" i="1"/>
  <c r="K413" i="1"/>
  <c r="J413" i="1"/>
  <c r="I413" i="1"/>
  <c r="L413" i="1" s="1"/>
  <c r="L412" i="1"/>
  <c r="J412" i="1"/>
  <c r="I412" i="1"/>
  <c r="J411" i="1"/>
  <c r="M411" i="1" s="1"/>
  <c r="I411" i="1"/>
  <c r="J410" i="1"/>
  <c r="M410" i="1" s="1"/>
  <c r="I410" i="1"/>
  <c r="M409" i="1"/>
  <c r="N409" i="1" s="1"/>
  <c r="O409" i="1" s="1"/>
  <c r="L409" i="1"/>
  <c r="J409" i="1"/>
  <c r="I409" i="1"/>
  <c r="K409" i="1" s="1"/>
  <c r="M408" i="1"/>
  <c r="L408" i="1"/>
  <c r="N408" i="1" s="1"/>
  <c r="O408" i="1" s="1"/>
  <c r="K408" i="1"/>
  <c r="J408" i="1"/>
  <c r="I408" i="1"/>
  <c r="L407" i="1"/>
  <c r="J407" i="1"/>
  <c r="I407" i="1"/>
  <c r="M404" i="1"/>
  <c r="J404" i="1"/>
  <c r="I404" i="1"/>
  <c r="M403" i="1"/>
  <c r="J403" i="1"/>
  <c r="I403" i="1"/>
  <c r="M402" i="1"/>
  <c r="N402" i="1" s="1"/>
  <c r="O402" i="1" s="1"/>
  <c r="L402" i="1"/>
  <c r="K402" i="1"/>
  <c r="J402" i="1"/>
  <c r="I402" i="1"/>
  <c r="L401" i="1"/>
  <c r="J401" i="1"/>
  <c r="I401" i="1"/>
  <c r="L400" i="1"/>
  <c r="J400" i="1"/>
  <c r="I400" i="1"/>
  <c r="J399" i="1"/>
  <c r="M399" i="1" s="1"/>
  <c r="I399" i="1"/>
  <c r="L398" i="1"/>
  <c r="N398" i="1" s="1"/>
  <c r="O398" i="1" s="1"/>
  <c r="J398" i="1"/>
  <c r="M398" i="1" s="1"/>
  <c r="I398" i="1"/>
  <c r="K398" i="1" s="1"/>
  <c r="N397" i="1"/>
  <c r="O397" i="1" s="1"/>
  <c r="K397" i="1"/>
  <c r="J397" i="1"/>
  <c r="M397" i="1" s="1"/>
  <c r="I397" i="1"/>
  <c r="L397" i="1" s="1"/>
  <c r="M396" i="1"/>
  <c r="J396" i="1"/>
  <c r="I396" i="1"/>
  <c r="M395" i="1"/>
  <c r="J395" i="1"/>
  <c r="I395" i="1"/>
  <c r="K395" i="1" s="1"/>
  <c r="M394" i="1"/>
  <c r="N394" i="1" s="1"/>
  <c r="O394" i="1" s="1"/>
  <c r="L394" i="1"/>
  <c r="K394" i="1"/>
  <c r="J394" i="1"/>
  <c r="I394" i="1"/>
  <c r="L393" i="1"/>
  <c r="J393" i="1"/>
  <c r="K393" i="1" s="1"/>
  <c r="I393" i="1"/>
  <c r="L392" i="1"/>
  <c r="K392" i="1"/>
  <c r="J392" i="1"/>
  <c r="M392" i="1" s="1"/>
  <c r="N392" i="1" s="1"/>
  <c r="I392" i="1"/>
  <c r="M390" i="1"/>
  <c r="L390" i="1"/>
  <c r="N390" i="1" s="1"/>
  <c r="O390" i="1" s="1"/>
  <c r="J390" i="1"/>
  <c r="K390" i="1" s="1"/>
  <c r="I390" i="1"/>
  <c r="M389" i="1"/>
  <c r="K389" i="1"/>
  <c r="J389" i="1"/>
  <c r="I389" i="1"/>
  <c r="L389" i="1" s="1"/>
  <c r="M388" i="1"/>
  <c r="L388" i="1"/>
  <c r="N388" i="1" s="1"/>
  <c r="O388" i="1" s="1"/>
  <c r="J388" i="1"/>
  <c r="K388" i="1" s="1"/>
  <c r="I388" i="1"/>
  <c r="J387" i="1"/>
  <c r="M387" i="1" s="1"/>
  <c r="I387" i="1"/>
  <c r="J386" i="1"/>
  <c r="M386" i="1" s="1"/>
  <c r="N386" i="1" s="1"/>
  <c r="I386" i="1"/>
  <c r="L386" i="1" s="1"/>
  <c r="K384" i="1"/>
  <c r="J384" i="1"/>
  <c r="M384" i="1" s="1"/>
  <c r="I384" i="1"/>
  <c r="L384" i="1" s="1"/>
  <c r="N384" i="1" s="1"/>
  <c r="O384" i="1" s="1"/>
  <c r="J383" i="1"/>
  <c r="I383" i="1"/>
  <c r="L383" i="1" s="1"/>
  <c r="M382" i="1"/>
  <c r="J382" i="1"/>
  <c r="I382" i="1"/>
  <c r="N381" i="1"/>
  <c r="O381" i="1" s="1"/>
  <c r="M381" i="1"/>
  <c r="L381" i="1"/>
  <c r="J381" i="1"/>
  <c r="I381" i="1"/>
  <c r="K381" i="1" s="1"/>
  <c r="M380" i="1"/>
  <c r="L380" i="1"/>
  <c r="N380" i="1" s="1"/>
  <c r="O380" i="1" s="1"/>
  <c r="K380" i="1"/>
  <c r="J380" i="1"/>
  <c r="I380" i="1"/>
  <c r="L379" i="1"/>
  <c r="J379" i="1"/>
  <c r="M379" i="1" s="1"/>
  <c r="I379" i="1"/>
  <c r="M378" i="1"/>
  <c r="K378" i="1"/>
  <c r="J378" i="1"/>
  <c r="I378" i="1"/>
  <c r="L378" i="1" s="1"/>
  <c r="L377" i="1"/>
  <c r="J377" i="1"/>
  <c r="I377" i="1"/>
  <c r="J376" i="1"/>
  <c r="M376" i="1" s="1"/>
  <c r="I376" i="1"/>
  <c r="J375" i="1"/>
  <c r="M375" i="1" s="1"/>
  <c r="I375" i="1"/>
  <c r="M374" i="1"/>
  <c r="N374" i="1" s="1"/>
  <c r="L374" i="1"/>
  <c r="J374" i="1"/>
  <c r="I374" i="1"/>
  <c r="K374" i="1" s="1"/>
  <c r="O373" i="1"/>
  <c r="M373" i="1"/>
  <c r="L373" i="1"/>
  <c r="N373" i="1" s="1"/>
  <c r="K373" i="1"/>
  <c r="J373" i="1"/>
  <c r="I373" i="1"/>
  <c r="N372" i="1"/>
  <c r="O372" i="1" s="1"/>
  <c r="L372" i="1"/>
  <c r="K372" i="1"/>
  <c r="J372" i="1"/>
  <c r="M372" i="1" s="1"/>
  <c r="I372" i="1"/>
  <c r="J371" i="1"/>
  <c r="M371" i="1" s="1"/>
  <c r="I371" i="1"/>
  <c r="K371" i="1" s="1"/>
  <c r="M370" i="1"/>
  <c r="K370" i="1"/>
  <c r="J370" i="1"/>
  <c r="I370" i="1"/>
  <c r="L370" i="1" s="1"/>
  <c r="L369" i="1"/>
  <c r="J369" i="1"/>
  <c r="M369" i="1" s="1"/>
  <c r="I369" i="1"/>
  <c r="O368" i="1"/>
  <c r="K368" i="1"/>
  <c r="J368" i="1"/>
  <c r="M368" i="1" s="1"/>
  <c r="I368" i="1"/>
  <c r="L368" i="1" s="1"/>
  <c r="N368" i="1" s="1"/>
  <c r="J367" i="1"/>
  <c r="M367" i="1" s="1"/>
  <c r="I367" i="1"/>
  <c r="M366" i="1"/>
  <c r="L366" i="1"/>
  <c r="N366" i="1" s="1"/>
  <c r="O366" i="1" s="1"/>
  <c r="J366" i="1"/>
  <c r="I366" i="1"/>
  <c r="K366" i="1" s="1"/>
  <c r="O365" i="1"/>
  <c r="M365" i="1"/>
  <c r="L365" i="1"/>
  <c r="N365" i="1" s="1"/>
  <c r="K365" i="1"/>
  <c r="J365" i="1"/>
  <c r="I365" i="1"/>
  <c r="L364" i="1"/>
  <c r="N364" i="1" s="1"/>
  <c r="O364" i="1" s="1"/>
  <c r="J364" i="1"/>
  <c r="M364" i="1" s="1"/>
  <c r="I364" i="1"/>
  <c r="L363" i="1"/>
  <c r="N363" i="1" s="1"/>
  <c r="O363" i="1" s="1"/>
  <c r="J363" i="1"/>
  <c r="M363" i="1" s="1"/>
  <c r="I363" i="1"/>
  <c r="K363" i="1" s="1"/>
  <c r="M362" i="1"/>
  <c r="J362" i="1"/>
  <c r="I362" i="1"/>
  <c r="L362" i="1" s="1"/>
  <c r="N362" i="1" s="1"/>
  <c r="O362" i="1" s="1"/>
  <c r="J361" i="1"/>
  <c r="M361" i="1" s="1"/>
  <c r="I361" i="1"/>
  <c r="K361" i="1" s="1"/>
  <c r="J360" i="1"/>
  <c r="M360" i="1" s="1"/>
  <c r="I360" i="1"/>
  <c r="M359" i="1"/>
  <c r="J359" i="1"/>
  <c r="I359" i="1"/>
  <c r="M358" i="1"/>
  <c r="J358" i="1"/>
  <c r="I358" i="1"/>
  <c r="M357" i="1"/>
  <c r="L357" i="1"/>
  <c r="K357" i="1"/>
  <c r="J357" i="1"/>
  <c r="I357" i="1"/>
  <c r="L356" i="1"/>
  <c r="J356" i="1"/>
  <c r="I356" i="1"/>
  <c r="M355" i="1"/>
  <c r="L355" i="1"/>
  <c r="N355" i="1" s="1"/>
  <c r="O355" i="1" s="1"/>
  <c r="J355" i="1"/>
  <c r="I355" i="1"/>
  <c r="K355" i="1" s="1"/>
  <c r="J354" i="1"/>
  <c r="M354" i="1" s="1"/>
  <c r="I354" i="1"/>
  <c r="L353" i="1"/>
  <c r="N353" i="1" s="1"/>
  <c r="O353" i="1" s="1"/>
  <c r="J353" i="1"/>
  <c r="M353" i="1" s="1"/>
  <c r="I353" i="1"/>
  <c r="K353" i="1" s="1"/>
  <c r="J352" i="1"/>
  <c r="M352" i="1" s="1"/>
  <c r="I352" i="1"/>
  <c r="J351" i="1"/>
  <c r="M351" i="1" s="1"/>
  <c r="I351" i="1"/>
  <c r="M350" i="1"/>
  <c r="J350" i="1"/>
  <c r="I350" i="1"/>
  <c r="K350" i="1" s="1"/>
  <c r="M349" i="1"/>
  <c r="N349" i="1" s="1"/>
  <c r="O349" i="1" s="1"/>
  <c r="L349" i="1"/>
  <c r="K349" i="1"/>
  <c r="J349" i="1"/>
  <c r="I349" i="1"/>
  <c r="L348" i="1"/>
  <c r="J348" i="1"/>
  <c r="I348" i="1"/>
  <c r="N347" i="1"/>
  <c r="O347" i="1" s="1"/>
  <c r="L347" i="1"/>
  <c r="K347" i="1"/>
  <c r="J347" i="1"/>
  <c r="M347" i="1" s="1"/>
  <c r="I347" i="1"/>
  <c r="M346" i="1"/>
  <c r="K346" i="1"/>
  <c r="J346" i="1"/>
  <c r="I346" i="1"/>
  <c r="L346" i="1" s="1"/>
  <c r="L345" i="1"/>
  <c r="J345" i="1"/>
  <c r="I345" i="1"/>
  <c r="J344" i="1"/>
  <c r="M344" i="1" s="1"/>
  <c r="I344" i="1"/>
  <c r="J343" i="1"/>
  <c r="M343" i="1" s="1"/>
  <c r="I343" i="1"/>
  <c r="M342" i="1"/>
  <c r="N342" i="1" s="1"/>
  <c r="O342" i="1" s="1"/>
  <c r="L342" i="1"/>
  <c r="J342" i="1"/>
  <c r="I342" i="1"/>
  <c r="K342" i="1" s="1"/>
  <c r="M341" i="1"/>
  <c r="L341" i="1"/>
  <c r="N341" i="1" s="1"/>
  <c r="O341" i="1" s="1"/>
  <c r="K341" i="1"/>
  <c r="J341" i="1"/>
  <c r="I341" i="1"/>
  <c r="N340" i="1"/>
  <c r="O340" i="1" s="1"/>
  <c r="L340" i="1"/>
  <c r="J340" i="1"/>
  <c r="M340" i="1" s="1"/>
  <c r="I340" i="1"/>
  <c r="J339" i="1"/>
  <c r="M339" i="1" s="1"/>
  <c r="I339" i="1"/>
  <c r="M338" i="1"/>
  <c r="K338" i="1"/>
  <c r="J338" i="1"/>
  <c r="I338" i="1"/>
  <c r="L338" i="1" s="1"/>
  <c r="L337" i="1"/>
  <c r="J337" i="1"/>
  <c r="I337" i="1"/>
  <c r="M336" i="1"/>
  <c r="J336" i="1"/>
  <c r="I336" i="1"/>
  <c r="J335" i="1"/>
  <c r="M335" i="1" s="1"/>
  <c r="I335" i="1"/>
  <c r="N334" i="1"/>
  <c r="O334" i="1" s="1"/>
  <c r="M334" i="1"/>
  <c r="K334" i="1"/>
  <c r="J334" i="1"/>
  <c r="I334" i="1"/>
  <c r="L334" i="1" s="1"/>
  <c r="L333" i="1"/>
  <c r="J333" i="1"/>
  <c r="I333" i="1"/>
  <c r="O332" i="1"/>
  <c r="M332" i="1"/>
  <c r="L332" i="1"/>
  <c r="N332" i="1" s="1"/>
  <c r="J332" i="1"/>
  <c r="I332" i="1"/>
  <c r="K332" i="1" s="1"/>
  <c r="J331" i="1"/>
  <c r="M331" i="1" s="1"/>
  <c r="I331" i="1"/>
  <c r="M330" i="1"/>
  <c r="K330" i="1"/>
  <c r="J330" i="1"/>
  <c r="I330" i="1"/>
  <c r="L330" i="1" s="1"/>
  <c r="J329" i="1"/>
  <c r="M329" i="1" s="1"/>
  <c r="I329" i="1"/>
  <c r="M328" i="1"/>
  <c r="J328" i="1"/>
  <c r="I328" i="1"/>
  <c r="J327" i="1"/>
  <c r="M327" i="1" s="1"/>
  <c r="I327" i="1"/>
  <c r="M326" i="1"/>
  <c r="J326" i="1"/>
  <c r="I326" i="1"/>
  <c r="M325" i="1"/>
  <c r="L325" i="1"/>
  <c r="K325" i="1"/>
  <c r="J325" i="1"/>
  <c r="I325" i="1"/>
  <c r="L324" i="1"/>
  <c r="N324" i="1" s="1"/>
  <c r="J324" i="1"/>
  <c r="M324" i="1" s="1"/>
  <c r="I324" i="1"/>
  <c r="K324" i="1" s="1"/>
  <c r="L321" i="1"/>
  <c r="J321" i="1"/>
  <c r="M321" i="1" s="1"/>
  <c r="I321" i="1"/>
  <c r="K321" i="1" s="1"/>
  <c r="O320" i="1"/>
  <c r="N320" i="1"/>
  <c r="M320" i="1"/>
  <c r="L320" i="1"/>
  <c r="J320" i="1"/>
  <c r="I320" i="1"/>
  <c r="K320" i="1" s="1"/>
  <c r="M319" i="1"/>
  <c r="N319" i="1" s="1"/>
  <c r="O319" i="1" s="1"/>
  <c r="L319" i="1"/>
  <c r="K319" i="1"/>
  <c r="J319" i="1"/>
  <c r="I319" i="1"/>
  <c r="L318" i="1"/>
  <c r="J318" i="1"/>
  <c r="I318" i="1"/>
  <c r="N317" i="1"/>
  <c r="O317" i="1" s="1"/>
  <c r="K317" i="1"/>
  <c r="J317" i="1"/>
  <c r="M317" i="1" s="1"/>
  <c r="I317" i="1"/>
  <c r="L317" i="1" s="1"/>
  <c r="J316" i="1"/>
  <c r="M316" i="1" s="1"/>
  <c r="I316" i="1"/>
  <c r="L315" i="1"/>
  <c r="N315" i="1" s="1"/>
  <c r="O315" i="1" s="1"/>
  <c r="J315" i="1"/>
  <c r="M315" i="1" s="1"/>
  <c r="I315" i="1"/>
  <c r="K315" i="1" s="1"/>
  <c r="J314" i="1"/>
  <c r="I314" i="1"/>
  <c r="L314" i="1" s="1"/>
  <c r="L313" i="1"/>
  <c r="J313" i="1"/>
  <c r="M313" i="1" s="1"/>
  <c r="I313" i="1"/>
  <c r="M312" i="1"/>
  <c r="J312" i="1"/>
  <c r="I312" i="1"/>
  <c r="N311" i="1"/>
  <c r="M311" i="1"/>
  <c r="L311" i="1"/>
  <c r="K311" i="1"/>
  <c r="J311" i="1"/>
  <c r="I311" i="1"/>
  <c r="M309" i="1"/>
  <c r="J309" i="1"/>
  <c r="I309" i="1"/>
  <c r="N308" i="1"/>
  <c r="O308" i="1" s="1"/>
  <c r="M308" i="1"/>
  <c r="L308" i="1"/>
  <c r="K308" i="1"/>
  <c r="J308" i="1"/>
  <c r="I308" i="1"/>
  <c r="M307" i="1"/>
  <c r="L307" i="1"/>
  <c r="N307" i="1" s="1"/>
  <c r="O307" i="1" s="1"/>
  <c r="K307" i="1"/>
  <c r="J307" i="1"/>
  <c r="I307" i="1"/>
  <c r="M306" i="1"/>
  <c r="J306" i="1"/>
  <c r="I306" i="1"/>
  <c r="L306" i="1" s="1"/>
  <c r="J305" i="1"/>
  <c r="M305" i="1" s="1"/>
  <c r="I305" i="1"/>
  <c r="J304" i="1"/>
  <c r="M304" i="1" s="1"/>
  <c r="I304" i="1"/>
  <c r="N303" i="1"/>
  <c r="M303" i="1"/>
  <c r="K303" i="1"/>
  <c r="J303" i="1"/>
  <c r="I303" i="1"/>
  <c r="L303" i="1" s="1"/>
  <c r="L302" i="1"/>
  <c r="J302" i="1"/>
  <c r="I302" i="1"/>
  <c r="M301" i="1"/>
  <c r="K301" i="1"/>
  <c r="J301" i="1"/>
  <c r="I301" i="1"/>
  <c r="L301" i="1" s="1"/>
  <c r="N301" i="1" s="1"/>
  <c r="O301" i="1" s="1"/>
  <c r="M300" i="1"/>
  <c r="L300" i="1"/>
  <c r="N300" i="1" s="1"/>
  <c r="O300" i="1" s="1"/>
  <c r="J300" i="1"/>
  <c r="I300" i="1"/>
  <c r="K300" i="1" s="1"/>
  <c r="L299" i="1"/>
  <c r="N299" i="1" s="1"/>
  <c r="O299" i="1" s="1"/>
  <c r="K299" i="1"/>
  <c r="J299" i="1"/>
  <c r="M299" i="1" s="1"/>
  <c r="I299" i="1"/>
  <c r="N298" i="1"/>
  <c r="O298" i="1" s="1"/>
  <c r="J298" i="1"/>
  <c r="M298" i="1" s="1"/>
  <c r="I298" i="1"/>
  <c r="L298" i="1" s="1"/>
  <c r="M297" i="1"/>
  <c r="J297" i="1"/>
  <c r="I297" i="1"/>
  <c r="M296" i="1"/>
  <c r="J296" i="1"/>
  <c r="I296" i="1"/>
  <c r="M295" i="1"/>
  <c r="L295" i="1"/>
  <c r="N295" i="1" s="1"/>
  <c r="O295" i="1" s="1"/>
  <c r="K295" i="1"/>
  <c r="J295" i="1"/>
  <c r="I295" i="1"/>
  <c r="L294" i="1"/>
  <c r="J294" i="1"/>
  <c r="I294" i="1"/>
  <c r="M292" i="1"/>
  <c r="L292" i="1"/>
  <c r="N292" i="1" s="1"/>
  <c r="O292" i="1" s="1"/>
  <c r="K292" i="1"/>
  <c r="J292" i="1"/>
  <c r="I292" i="1"/>
  <c r="L291" i="1"/>
  <c r="J291" i="1"/>
  <c r="I291" i="1"/>
  <c r="M290" i="1"/>
  <c r="J290" i="1"/>
  <c r="I290" i="1"/>
  <c r="L289" i="1"/>
  <c r="J289" i="1"/>
  <c r="M289" i="1" s="1"/>
  <c r="I289" i="1"/>
  <c r="K289" i="1" s="1"/>
  <c r="L288" i="1"/>
  <c r="K288" i="1"/>
  <c r="J288" i="1"/>
  <c r="M288" i="1" s="1"/>
  <c r="I288" i="1"/>
  <c r="K287" i="1"/>
  <c r="J287" i="1"/>
  <c r="M287" i="1" s="1"/>
  <c r="I287" i="1"/>
  <c r="L287" i="1" s="1"/>
  <c r="N287" i="1" s="1"/>
  <c r="O287" i="1" s="1"/>
  <c r="J286" i="1"/>
  <c r="M286" i="1" s="1"/>
  <c r="I286" i="1"/>
  <c r="M285" i="1"/>
  <c r="L285" i="1"/>
  <c r="N285" i="1" s="1"/>
  <c r="O285" i="1" s="1"/>
  <c r="J285" i="1"/>
  <c r="I285" i="1"/>
  <c r="K285" i="1" s="1"/>
  <c r="M284" i="1"/>
  <c r="L284" i="1"/>
  <c r="K284" i="1"/>
  <c r="J284" i="1"/>
  <c r="I284" i="1"/>
  <c r="L283" i="1"/>
  <c r="J283" i="1"/>
  <c r="I283" i="1"/>
  <c r="J282" i="1"/>
  <c r="M282" i="1" s="1"/>
  <c r="I282" i="1"/>
  <c r="L282" i="1" s="1"/>
  <c r="M281" i="1"/>
  <c r="J281" i="1"/>
  <c r="I281" i="1"/>
  <c r="K281" i="1" s="1"/>
  <c r="J280" i="1"/>
  <c r="M280" i="1" s="1"/>
  <c r="I280" i="1"/>
  <c r="L280" i="1" s="1"/>
  <c r="N280" i="1" s="1"/>
  <c r="O280" i="1" s="1"/>
  <c r="J279" i="1"/>
  <c r="M279" i="1" s="1"/>
  <c r="I279" i="1"/>
  <c r="L279" i="1" s="1"/>
  <c r="N279" i="1" s="1"/>
  <c r="O279" i="1" s="1"/>
  <c r="M278" i="1"/>
  <c r="J278" i="1"/>
  <c r="I278" i="1"/>
  <c r="L277" i="1"/>
  <c r="N277" i="1" s="1"/>
  <c r="O277" i="1" s="1"/>
  <c r="J277" i="1"/>
  <c r="M277" i="1" s="1"/>
  <c r="I277" i="1"/>
  <c r="J276" i="1"/>
  <c r="M276" i="1" s="1"/>
  <c r="I276" i="1"/>
  <c r="M275" i="1"/>
  <c r="L275" i="1"/>
  <c r="K275" i="1"/>
  <c r="J275" i="1"/>
  <c r="I275" i="1"/>
  <c r="L274" i="1"/>
  <c r="J274" i="1"/>
  <c r="M274" i="1" s="1"/>
  <c r="I274" i="1"/>
  <c r="J273" i="1"/>
  <c r="M273" i="1" s="1"/>
  <c r="I273" i="1"/>
  <c r="J272" i="1"/>
  <c r="M272" i="1" s="1"/>
  <c r="I272" i="1"/>
  <c r="M271" i="1"/>
  <c r="L271" i="1"/>
  <c r="N271" i="1" s="1"/>
  <c r="O271" i="1" s="1"/>
  <c r="J271" i="1"/>
  <c r="I271" i="1"/>
  <c r="K271" i="1" s="1"/>
  <c r="M270" i="1"/>
  <c r="L270" i="1"/>
  <c r="N270" i="1" s="1"/>
  <c r="O270" i="1" s="1"/>
  <c r="K270" i="1"/>
  <c r="J270" i="1"/>
  <c r="I270" i="1"/>
  <c r="L269" i="1"/>
  <c r="J269" i="1"/>
  <c r="I269" i="1"/>
  <c r="M268" i="1"/>
  <c r="L268" i="1"/>
  <c r="N268" i="1" s="1"/>
  <c r="O268" i="1" s="1"/>
  <c r="J268" i="1"/>
  <c r="I268" i="1"/>
  <c r="K268" i="1" s="1"/>
  <c r="M267" i="1"/>
  <c r="J267" i="1"/>
  <c r="I267" i="1"/>
  <c r="L267" i="1" s="1"/>
  <c r="N267" i="1" s="1"/>
  <c r="O267" i="1" s="1"/>
  <c r="J266" i="1"/>
  <c r="M266" i="1" s="1"/>
  <c r="I266" i="1"/>
  <c r="O265" i="1"/>
  <c r="N265" i="1"/>
  <c r="K265" i="1"/>
  <c r="J265" i="1"/>
  <c r="M265" i="1" s="1"/>
  <c r="I265" i="1"/>
  <c r="L265" i="1" s="1"/>
  <c r="J264" i="1"/>
  <c r="M264" i="1" s="1"/>
  <c r="I264" i="1"/>
  <c r="M263" i="1"/>
  <c r="J263" i="1"/>
  <c r="I263" i="1"/>
  <c r="M262" i="1"/>
  <c r="N262" i="1" s="1"/>
  <c r="O262" i="1" s="1"/>
  <c r="L262" i="1"/>
  <c r="K262" i="1"/>
  <c r="J262" i="1"/>
  <c r="I262" i="1"/>
  <c r="M261" i="1"/>
  <c r="L261" i="1"/>
  <c r="N261" i="1" s="1"/>
  <c r="O261" i="1" s="1"/>
  <c r="J261" i="1"/>
  <c r="K261" i="1" s="1"/>
  <c r="I261" i="1"/>
  <c r="L260" i="1"/>
  <c r="J260" i="1"/>
  <c r="K260" i="1" s="1"/>
  <c r="I260" i="1"/>
  <c r="K259" i="1"/>
  <c r="J259" i="1"/>
  <c r="M259" i="1" s="1"/>
  <c r="I259" i="1"/>
  <c r="L259" i="1" s="1"/>
  <c r="L258" i="1"/>
  <c r="N258" i="1" s="1"/>
  <c r="O258" i="1" s="1"/>
  <c r="J258" i="1"/>
  <c r="M258" i="1" s="1"/>
  <c r="I258" i="1"/>
  <c r="K258" i="1" s="1"/>
  <c r="N257" i="1"/>
  <c r="O257" i="1" s="1"/>
  <c r="K257" i="1"/>
  <c r="J257" i="1"/>
  <c r="M257" i="1" s="1"/>
  <c r="I257" i="1"/>
  <c r="L257" i="1" s="1"/>
  <c r="J256" i="1"/>
  <c r="M256" i="1" s="1"/>
  <c r="I256" i="1"/>
  <c r="M255" i="1"/>
  <c r="J255" i="1"/>
  <c r="I255" i="1"/>
  <c r="K255" i="1" s="1"/>
  <c r="M253" i="1"/>
  <c r="J253" i="1"/>
  <c r="I253" i="1"/>
  <c r="M252" i="1"/>
  <c r="L252" i="1"/>
  <c r="N252" i="1" s="1"/>
  <c r="O252" i="1" s="1"/>
  <c r="J252" i="1"/>
  <c r="I252" i="1"/>
  <c r="K252" i="1" s="1"/>
  <c r="M251" i="1"/>
  <c r="L251" i="1"/>
  <c r="N251" i="1" s="1"/>
  <c r="O251" i="1" s="1"/>
  <c r="K251" i="1"/>
  <c r="J251" i="1"/>
  <c r="I251" i="1"/>
  <c r="O250" i="1"/>
  <c r="L250" i="1"/>
  <c r="N250" i="1" s="1"/>
  <c r="K250" i="1"/>
  <c r="J250" i="1"/>
  <c r="M250" i="1" s="1"/>
  <c r="I250" i="1"/>
  <c r="M249" i="1"/>
  <c r="J249" i="1"/>
  <c r="I249" i="1"/>
  <c r="H249" i="1"/>
  <c r="N248" i="1"/>
  <c r="O248" i="1" s="1"/>
  <c r="M248" i="1"/>
  <c r="L248" i="1"/>
  <c r="J248" i="1"/>
  <c r="I248" i="1"/>
  <c r="K248" i="1" s="1"/>
  <c r="M247" i="1"/>
  <c r="L247" i="1"/>
  <c r="N247" i="1" s="1"/>
  <c r="O247" i="1" s="1"/>
  <c r="J247" i="1"/>
  <c r="I247" i="1"/>
  <c r="K247" i="1" s="1"/>
  <c r="J246" i="1"/>
  <c r="M246" i="1" s="1"/>
  <c r="I246" i="1"/>
  <c r="O245" i="1"/>
  <c r="N245" i="1"/>
  <c r="K245" i="1"/>
  <c r="J245" i="1"/>
  <c r="M245" i="1" s="1"/>
  <c r="I245" i="1"/>
  <c r="L245" i="1" s="1"/>
  <c r="J244" i="1"/>
  <c r="M244" i="1" s="1"/>
  <c r="I244" i="1"/>
  <c r="O243" i="1"/>
  <c r="M243" i="1"/>
  <c r="L243" i="1"/>
  <c r="N243" i="1" s="1"/>
  <c r="J243" i="1"/>
  <c r="I243" i="1"/>
  <c r="K243" i="1" s="1"/>
  <c r="M242" i="1"/>
  <c r="N242" i="1" s="1"/>
  <c r="O242" i="1" s="1"/>
  <c r="L242" i="1"/>
  <c r="K242" i="1"/>
  <c r="J242" i="1"/>
  <c r="I242" i="1"/>
  <c r="M241" i="1"/>
  <c r="L241" i="1"/>
  <c r="N241" i="1" s="1"/>
  <c r="O241" i="1" s="1"/>
  <c r="J241" i="1"/>
  <c r="K241" i="1" s="1"/>
  <c r="I241" i="1"/>
  <c r="M240" i="1"/>
  <c r="L240" i="1"/>
  <c r="N240" i="1" s="1"/>
  <c r="O240" i="1" s="1"/>
  <c r="J240" i="1"/>
  <c r="K240" i="1" s="1"/>
  <c r="I240" i="1"/>
  <c r="L239" i="1"/>
  <c r="K239" i="1"/>
  <c r="J239" i="1"/>
  <c r="M239" i="1" s="1"/>
  <c r="I239" i="1"/>
  <c r="J238" i="1"/>
  <c r="M238" i="1" s="1"/>
  <c r="I238" i="1"/>
  <c r="K238" i="1" s="1"/>
  <c r="J237" i="1"/>
  <c r="M237" i="1" s="1"/>
  <c r="I237" i="1"/>
  <c r="L237" i="1" s="1"/>
  <c r="N237" i="1" s="1"/>
  <c r="O237" i="1" s="1"/>
  <c r="J236" i="1"/>
  <c r="M236" i="1" s="1"/>
  <c r="I236" i="1"/>
  <c r="M235" i="1"/>
  <c r="J235" i="1"/>
  <c r="I235" i="1"/>
  <c r="M234" i="1"/>
  <c r="L234" i="1"/>
  <c r="N234" i="1" s="1"/>
  <c r="O234" i="1" s="1"/>
  <c r="K234" i="1"/>
  <c r="J234" i="1"/>
  <c r="I234" i="1"/>
  <c r="L233" i="1"/>
  <c r="N233" i="1" s="1"/>
  <c r="O233" i="1" s="1"/>
  <c r="J233" i="1"/>
  <c r="M233" i="1" s="1"/>
  <c r="I233" i="1"/>
  <c r="M232" i="1"/>
  <c r="L232" i="1"/>
  <c r="N232" i="1" s="1"/>
  <c r="O232" i="1" s="1"/>
  <c r="J232" i="1"/>
  <c r="I232" i="1"/>
  <c r="K232" i="1" s="1"/>
  <c r="J231" i="1"/>
  <c r="M231" i="1" s="1"/>
  <c r="I231" i="1"/>
  <c r="L230" i="1"/>
  <c r="N230" i="1" s="1"/>
  <c r="O230" i="1" s="1"/>
  <c r="J230" i="1"/>
  <c r="M230" i="1" s="1"/>
  <c r="I230" i="1"/>
  <c r="K229" i="1"/>
  <c r="J229" i="1"/>
  <c r="M229" i="1" s="1"/>
  <c r="N229" i="1" s="1"/>
  <c r="O229" i="1" s="1"/>
  <c r="I229" i="1"/>
  <c r="L229" i="1" s="1"/>
  <c r="J228" i="1"/>
  <c r="M228" i="1" s="1"/>
  <c r="I228" i="1"/>
  <c r="N227" i="1"/>
  <c r="O227" i="1" s="1"/>
  <c r="M227" i="1"/>
  <c r="L227" i="1"/>
  <c r="J227" i="1"/>
  <c r="I227" i="1"/>
  <c r="K227" i="1" s="1"/>
  <c r="M226" i="1"/>
  <c r="L226" i="1"/>
  <c r="N226" i="1" s="1"/>
  <c r="O226" i="1" s="1"/>
  <c r="K226" i="1"/>
  <c r="J226" i="1"/>
  <c r="I226" i="1"/>
  <c r="M225" i="1"/>
  <c r="L225" i="1"/>
  <c r="J225" i="1"/>
  <c r="K225" i="1" s="1"/>
  <c r="I225" i="1"/>
  <c r="N224" i="1"/>
  <c r="O224" i="1" s="1"/>
  <c r="J224" i="1"/>
  <c r="M224" i="1" s="1"/>
  <c r="I224" i="1"/>
  <c r="L224" i="1" s="1"/>
  <c r="M223" i="1"/>
  <c r="L223" i="1"/>
  <c r="N223" i="1" s="1"/>
  <c r="O223" i="1" s="1"/>
  <c r="K223" i="1"/>
  <c r="J223" i="1"/>
  <c r="I223" i="1"/>
  <c r="O222" i="1"/>
  <c r="L222" i="1"/>
  <c r="N222" i="1" s="1"/>
  <c r="K222" i="1"/>
  <c r="J222" i="1"/>
  <c r="M222" i="1" s="1"/>
  <c r="I222" i="1"/>
  <c r="J221" i="1"/>
  <c r="M221" i="1" s="1"/>
  <c r="I221" i="1"/>
  <c r="M220" i="1"/>
  <c r="J220" i="1"/>
  <c r="I220" i="1"/>
  <c r="M219" i="1"/>
  <c r="L219" i="1"/>
  <c r="N219" i="1" s="1"/>
  <c r="O219" i="1" s="1"/>
  <c r="J219" i="1"/>
  <c r="I219" i="1"/>
  <c r="K219" i="1" s="1"/>
  <c r="O218" i="1"/>
  <c r="M218" i="1"/>
  <c r="L218" i="1"/>
  <c r="N218" i="1" s="1"/>
  <c r="K218" i="1"/>
  <c r="J218" i="1"/>
  <c r="I218" i="1"/>
  <c r="O217" i="1"/>
  <c r="N217" i="1"/>
  <c r="L217" i="1"/>
  <c r="J217" i="1"/>
  <c r="M217" i="1" s="1"/>
  <c r="I217" i="1"/>
  <c r="M216" i="1"/>
  <c r="J216" i="1"/>
  <c r="I216" i="1"/>
  <c r="K216" i="1" s="1"/>
  <c r="L215" i="1"/>
  <c r="J215" i="1"/>
  <c r="K215" i="1" s="1"/>
  <c r="I215" i="1"/>
  <c r="M214" i="1"/>
  <c r="J214" i="1"/>
  <c r="I214" i="1"/>
  <c r="L214" i="1" s="1"/>
  <c r="N214" i="1" s="1"/>
  <c r="O214" i="1" s="1"/>
  <c r="M213" i="1"/>
  <c r="L213" i="1"/>
  <c r="J213" i="1"/>
  <c r="K213" i="1" s="1"/>
  <c r="I213" i="1"/>
  <c r="N210" i="1"/>
  <c r="O210" i="1" s="1"/>
  <c r="M210" i="1"/>
  <c r="L210" i="1"/>
  <c r="K210" i="1"/>
  <c r="J210" i="1"/>
  <c r="I210" i="1"/>
  <c r="M209" i="1"/>
  <c r="L209" i="1"/>
  <c r="N209" i="1" s="1"/>
  <c r="O209" i="1" s="1"/>
  <c r="J209" i="1"/>
  <c r="K209" i="1" s="1"/>
  <c r="I209" i="1"/>
  <c r="L208" i="1"/>
  <c r="N208" i="1" s="1"/>
  <c r="O208" i="1" s="1"/>
  <c r="K208" i="1"/>
  <c r="J208" i="1"/>
  <c r="M208" i="1" s="1"/>
  <c r="I208" i="1"/>
  <c r="M207" i="1"/>
  <c r="J207" i="1"/>
  <c r="I207" i="1"/>
  <c r="L207" i="1" s="1"/>
  <c r="N207" i="1" s="1"/>
  <c r="O207" i="1" s="1"/>
  <c r="L206" i="1"/>
  <c r="J206" i="1"/>
  <c r="M206" i="1" s="1"/>
  <c r="I206" i="1"/>
  <c r="J205" i="1"/>
  <c r="M205" i="1" s="1"/>
  <c r="I205" i="1"/>
  <c r="L205" i="1" s="1"/>
  <c r="N205" i="1" s="1"/>
  <c r="O205" i="1" s="1"/>
  <c r="J204" i="1"/>
  <c r="M204" i="1" s="1"/>
  <c r="I204" i="1"/>
  <c r="N203" i="1"/>
  <c r="O203" i="1" s="1"/>
  <c r="M203" i="1"/>
  <c r="L203" i="1"/>
  <c r="J203" i="1"/>
  <c r="I203" i="1"/>
  <c r="K203" i="1" s="1"/>
  <c r="M202" i="1"/>
  <c r="L202" i="1"/>
  <c r="N202" i="1" s="1"/>
  <c r="O202" i="1" s="1"/>
  <c r="K202" i="1"/>
  <c r="J202" i="1"/>
  <c r="I202" i="1"/>
  <c r="L201" i="1"/>
  <c r="N201" i="1" s="1"/>
  <c r="O201" i="1" s="1"/>
  <c r="K201" i="1"/>
  <c r="J201" i="1"/>
  <c r="M201" i="1" s="1"/>
  <c r="I201" i="1"/>
  <c r="J200" i="1"/>
  <c r="M200" i="1" s="1"/>
  <c r="I200" i="1"/>
  <c r="K200" i="1" s="1"/>
  <c r="M199" i="1"/>
  <c r="L199" i="1"/>
  <c r="K199" i="1"/>
  <c r="J199" i="1"/>
  <c r="I199" i="1"/>
  <c r="L198" i="1"/>
  <c r="K198" i="1"/>
  <c r="J198" i="1"/>
  <c r="M198" i="1" s="1"/>
  <c r="I198" i="1"/>
  <c r="J197" i="1"/>
  <c r="M197" i="1" s="1"/>
  <c r="I197" i="1"/>
  <c r="L197" i="1" s="1"/>
  <c r="N197" i="1" s="1"/>
  <c r="L195" i="1"/>
  <c r="N195" i="1" s="1"/>
  <c r="O195" i="1" s="1"/>
  <c r="J195" i="1"/>
  <c r="M195" i="1" s="1"/>
  <c r="I195" i="1"/>
  <c r="K195" i="1" s="1"/>
  <c r="N194" i="1"/>
  <c r="O194" i="1" s="1"/>
  <c r="J194" i="1"/>
  <c r="M194" i="1" s="1"/>
  <c r="I194" i="1"/>
  <c r="L194" i="1" s="1"/>
  <c r="J193" i="1"/>
  <c r="M193" i="1" s="1"/>
  <c r="I193" i="1"/>
  <c r="M192" i="1"/>
  <c r="J192" i="1"/>
  <c r="I192" i="1"/>
  <c r="K192" i="1" s="1"/>
  <c r="N191" i="1"/>
  <c r="O191" i="1" s="1"/>
  <c r="M191" i="1"/>
  <c r="L191" i="1"/>
  <c r="K191" i="1"/>
  <c r="J191" i="1"/>
  <c r="I191" i="1"/>
  <c r="M190" i="1"/>
  <c r="L190" i="1"/>
  <c r="N190" i="1" s="1"/>
  <c r="O190" i="1" s="1"/>
  <c r="J190" i="1"/>
  <c r="K190" i="1" s="1"/>
  <c r="I190" i="1"/>
  <c r="L189" i="1"/>
  <c r="N189" i="1" s="1"/>
  <c r="K189" i="1"/>
  <c r="J189" i="1"/>
  <c r="M189" i="1" s="1"/>
  <c r="I189" i="1"/>
  <c r="L187" i="1"/>
  <c r="J187" i="1"/>
  <c r="K187" i="1" s="1"/>
  <c r="I187" i="1"/>
  <c r="J184" i="1"/>
  <c r="M184" i="1" s="1"/>
  <c r="I184" i="1"/>
  <c r="J182" i="1"/>
  <c r="M182" i="1" s="1"/>
  <c r="I182" i="1"/>
  <c r="L182" i="1" s="1"/>
  <c r="N182" i="1" s="1"/>
  <c r="O182" i="1" s="1"/>
  <c r="M181" i="1"/>
  <c r="J181" i="1"/>
  <c r="I181" i="1"/>
  <c r="J179" i="1"/>
  <c r="M179" i="1" s="1"/>
  <c r="N179" i="1" s="1"/>
  <c r="O179" i="1" s="1"/>
  <c r="I179" i="1"/>
  <c r="L179" i="1" s="1"/>
  <c r="J178" i="1"/>
  <c r="M178" i="1" s="1"/>
  <c r="I178" i="1"/>
  <c r="J176" i="1"/>
  <c r="M176" i="1" s="1"/>
  <c r="I176" i="1"/>
  <c r="L176" i="1" s="1"/>
  <c r="N176" i="1" s="1"/>
  <c r="O176" i="1" s="1"/>
  <c r="M175" i="1"/>
  <c r="J175" i="1"/>
  <c r="I175" i="1"/>
  <c r="M174" i="1"/>
  <c r="J174" i="1"/>
  <c r="I174" i="1"/>
  <c r="K174" i="1" s="1"/>
  <c r="M173" i="1"/>
  <c r="L173" i="1"/>
  <c r="N173" i="1" s="1"/>
  <c r="K173" i="1"/>
  <c r="J173" i="1"/>
  <c r="I173" i="1"/>
  <c r="J170" i="1"/>
  <c r="M170" i="1" s="1"/>
  <c r="I170" i="1"/>
  <c r="L170" i="1" s="1"/>
  <c r="N170" i="1" s="1"/>
  <c r="L168" i="1"/>
  <c r="K168" i="1"/>
  <c r="J168" i="1"/>
  <c r="M168" i="1" s="1"/>
  <c r="I168" i="1"/>
  <c r="J167" i="1"/>
  <c r="M167" i="1" s="1"/>
  <c r="I167" i="1"/>
  <c r="L167" i="1" s="1"/>
  <c r="N167" i="1" s="1"/>
  <c r="J164" i="1"/>
  <c r="M164" i="1" s="1"/>
  <c r="I164" i="1"/>
  <c r="L164" i="1" s="1"/>
  <c r="N164" i="1" s="1"/>
  <c r="M161" i="1"/>
  <c r="J161" i="1"/>
  <c r="I161" i="1"/>
  <c r="K161" i="1" s="1"/>
  <c r="J159" i="1"/>
  <c r="M159" i="1" s="1"/>
  <c r="I159" i="1"/>
  <c r="J157" i="1"/>
  <c r="I157" i="1"/>
  <c r="K157" i="1" s="1"/>
  <c r="G157" i="1"/>
  <c r="J156" i="1"/>
  <c r="M156" i="1" s="1"/>
  <c r="N156" i="1" s="1"/>
  <c r="I156" i="1"/>
  <c r="L156" i="1" s="1"/>
  <c r="N153" i="1"/>
  <c r="M153" i="1"/>
  <c r="L153" i="1"/>
  <c r="K153" i="1"/>
  <c r="J153" i="1"/>
  <c r="I153" i="1"/>
  <c r="L151" i="1"/>
  <c r="N151" i="1" s="1"/>
  <c r="O151" i="1" s="1"/>
  <c r="J151" i="1"/>
  <c r="M151" i="1" s="1"/>
  <c r="I151" i="1"/>
  <c r="L150" i="1"/>
  <c r="K150" i="1"/>
  <c r="J150" i="1"/>
  <c r="M150" i="1" s="1"/>
  <c r="I150" i="1"/>
  <c r="M149" i="1"/>
  <c r="J149" i="1"/>
  <c r="I149" i="1"/>
  <c r="L149" i="1" s="1"/>
  <c r="N149" i="1" s="1"/>
  <c r="N146" i="1"/>
  <c r="O146" i="1" s="1"/>
  <c r="M146" i="1"/>
  <c r="L146" i="1"/>
  <c r="K146" i="1"/>
  <c r="J146" i="1"/>
  <c r="I146" i="1"/>
  <c r="M145" i="1"/>
  <c r="N145" i="1" s="1"/>
  <c r="O145" i="1" s="1"/>
  <c r="L145" i="1"/>
  <c r="J145" i="1"/>
  <c r="K145" i="1" s="1"/>
  <c r="I145" i="1"/>
  <c r="N144" i="1"/>
  <c r="O144" i="1" s="1"/>
  <c r="M144" i="1"/>
  <c r="L144" i="1"/>
  <c r="K144" i="1"/>
  <c r="J144" i="1"/>
  <c r="I144" i="1"/>
  <c r="L143" i="1"/>
  <c r="J143" i="1"/>
  <c r="M143" i="1" s="1"/>
  <c r="I143" i="1"/>
  <c r="J142" i="1"/>
  <c r="M142" i="1" s="1"/>
  <c r="I142" i="1"/>
  <c r="L142" i="1" s="1"/>
  <c r="N142" i="1" s="1"/>
  <c r="O142" i="1" s="1"/>
  <c r="J141" i="1"/>
  <c r="M141" i="1" s="1"/>
  <c r="N141" i="1" s="1"/>
  <c r="O141" i="1" s="1"/>
  <c r="I141" i="1"/>
  <c r="L141" i="1" s="1"/>
  <c r="J140" i="1"/>
  <c r="M140" i="1" s="1"/>
  <c r="I140" i="1"/>
  <c r="J138" i="1"/>
  <c r="M138" i="1" s="1"/>
  <c r="I138" i="1"/>
  <c r="L138" i="1" s="1"/>
  <c r="N138" i="1" s="1"/>
  <c r="J135" i="1"/>
  <c r="M135" i="1" s="1"/>
  <c r="I135" i="1"/>
  <c r="K135" i="1" s="1"/>
  <c r="M134" i="1"/>
  <c r="L134" i="1"/>
  <c r="N134" i="1" s="1"/>
  <c r="O134" i="1" s="1"/>
  <c r="J134" i="1"/>
  <c r="I134" i="1"/>
  <c r="K134" i="1" s="1"/>
  <c r="J133" i="1"/>
  <c r="M133" i="1" s="1"/>
  <c r="I133" i="1"/>
  <c r="L133" i="1" s="1"/>
  <c r="N133" i="1" s="1"/>
  <c r="L131" i="1"/>
  <c r="J131" i="1"/>
  <c r="K131" i="1" s="1"/>
  <c r="I131" i="1"/>
  <c r="J130" i="1"/>
  <c r="M130" i="1" s="1"/>
  <c r="I130" i="1"/>
  <c r="L130" i="1" s="1"/>
  <c r="N130" i="1" s="1"/>
  <c r="O130" i="1" s="1"/>
  <c r="J129" i="1"/>
  <c r="M129" i="1" s="1"/>
  <c r="N129" i="1" s="1"/>
  <c r="O129" i="1" s="1"/>
  <c r="I129" i="1"/>
  <c r="L129" i="1" s="1"/>
  <c r="J128" i="1"/>
  <c r="M128" i="1" s="1"/>
  <c r="I128" i="1"/>
  <c r="M127" i="1"/>
  <c r="J127" i="1"/>
  <c r="I127" i="1"/>
  <c r="K127" i="1" s="1"/>
  <c r="J124" i="1"/>
  <c r="M124" i="1" s="1"/>
  <c r="I124" i="1"/>
  <c r="K124" i="1" s="1"/>
  <c r="O123" i="1"/>
  <c r="N123" i="1"/>
  <c r="K123" i="1"/>
  <c r="J123" i="1"/>
  <c r="M123" i="1" s="1"/>
  <c r="I123" i="1"/>
  <c r="L123" i="1" s="1"/>
  <c r="J122" i="1"/>
  <c r="M122" i="1" s="1"/>
  <c r="I122" i="1"/>
  <c r="M121" i="1"/>
  <c r="J121" i="1"/>
  <c r="I121" i="1"/>
  <c r="K121" i="1" s="1"/>
  <c r="M120" i="1"/>
  <c r="N120" i="1" s="1"/>
  <c r="O120" i="1" s="1"/>
  <c r="L120" i="1"/>
  <c r="K120" i="1"/>
  <c r="J120" i="1"/>
  <c r="I120" i="1"/>
  <c r="M119" i="1"/>
  <c r="L119" i="1"/>
  <c r="N119" i="1" s="1"/>
  <c r="K119" i="1"/>
  <c r="J119" i="1"/>
  <c r="I119" i="1"/>
  <c r="J115" i="1"/>
  <c r="M115" i="1" s="1"/>
  <c r="I115" i="1"/>
  <c r="K115" i="1" s="1"/>
  <c r="O114" i="1"/>
  <c r="N114" i="1"/>
  <c r="K114" i="1"/>
  <c r="J114" i="1"/>
  <c r="M114" i="1" s="1"/>
  <c r="I114" i="1"/>
  <c r="L114" i="1" s="1"/>
  <c r="L112" i="1"/>
  <c r="J112" i="1"/>
  <c r="M112" i="1" s="1"/>
  <c r="I112" i="1"/>
  <c r="J111" i="1"/>
  <c r="M111" i="1" s="1"/>
  <c r="I111" i="1"/>
  <c r="L111" i="1" s="1"/>
  <c r="N111" i="1" s="1"/>
  <c r="O111" i="1" s="1"/>
  <c r="M110" i="1"/>
  <c r="J110" i="1"/>
  <c r="I110" i="1"/>
  <c r="O108" i="1"/>
  <c r="N108" i="1"/>
  <c r="K108" i="1"/>
  <c r="J108" i="1"/>
  <c r="M108" i="1" s="1"/>
  <c r="I108" i="1"/>
  <c r="L108" i="1" s="1"/>
  <c r="J107" i="1"/>
  <c r="M107" i="1" s="1"/>
  <c r="I107" i="1"/>
  <c r="J105" i="1"/>
  <c r="M105" i="1" s="1"/>
  <c r="I105" i="1"/>
  <c r="L105" i="1" s="1"/>
  <c r="N105" i="1" s="1"/>
  <c r="O105" i="1" s="1"/>
  <c r="M104" i="1"/>
  <c r="J104" i="1"/>
  <c r="I104" i="1"/>
  <c r="M103" i="1"/>
  <c r="N103" i="1" s="1"/>
  <c r="L103" i="1"/>
  <c r="J103" i="1"/>
  <c r="I103" i="1"/>
  <c r="K103" i="1" s="1"/>
  <c r="O100" i="1"/>
  <c r="L100" i="1"/>
  <c r="N100" i="1" s="1"/>
  <c r="K100" i="1"/>
  <c r="J100" i="1"/>
  <c r="M100" i="1" s="1"/>
  <c r="I100" i="1"/>
  <c r="N99" i="1"/>
  <c r="O99" i="1" s="1"/>
  <c r="L98" i="1"/>
  <c r="J98" i="1"/>
  <c r="K98" i="1" s="1"/>
  <c r="I98" i="1"/>
  <c r="J97" i="1"/>
  <c r="M97" i="1" s="1"/>
  <c r="I97" i="1"/>
  <c r="L97" i="1" s="1"/>
  <c r="N97" i="1" s="1"/>
  <c r="O97" i="1" s="1"/>
  <c r="N96" i="1"/>
  <c r="O96" i="1" s="1"/>
  <c r="J96" i="1"/>
  <c r="M96" i="1" s="1"/>
  <c r="I96" i="1"/>
  <c r="L96" i="1" s="1"/>
  <c r="M95" i="1"/>
  <c r="J95" i="1"/>
  <c r="I95" i="1"/>
  <c r="J93" i="1"/>
  <c r="I93" i="1"/>
  <c r="L93" i="1" s="1"/>
  <c r="J92" i="1"/>
  <c r="M92" i="1" s="1"/>
  <c r="I92" i="1"/>
  <c r="M91" i="1"/>
  <c r="L91" i="1"/>
  <c r="N91" i="1" s="1"/>
  <c r="O91" i="1" s="1"/>
  <c r="J91" i="1"/>
  <c r="I91" i="1"/>
  <c r="K91" i="1" s="1"/>
  <c r="M90" i="1"/>
  <c r="L90" i="1"/>
  <c r="N90" i="1" s="1"/>
  <c r="O90" i="1" s="1"/>
  <c r="K90" i="1"/>
  <c r="J90" i="1"/>
  <c r="I90" i="1"/>
  <c r="M89" i="1"/>
  <c r="L89" i="1"/>
  <c r="N89" i="1" s="1"/>
  <c r="O89" i="1" s="1"/>
  <c r="K89" i="1"/>
  <c r="J89" i="1"/>
  <c r="I89" i="1"/>
  <c r="J88" i="1"/>
  <c r="M88" i="1" s="1"/>
  <c r="I88" i="1"/>
  <c r="M85" i="1"/>
  <c r="J85" i="1"/>
  <c r="I85" i="1"/>
  <c r="J83" i="1"/>
  <c r="M83" i="1" s="1"/>
  <c r="I83" i="1"/>
  <c r="M82" i="1"/>
  <c r="J82" i="1"/>
  <c r="I82" i="1"/>
  <c r="K82" i="1" s="1"/>
  <c r="M81" i="1"/>
  <c r="N81" i="1" s="1"/>
  <c r="O81" i="1" s="1"/>
  <c r="L81" i="1"/>
  <c r="K81" i="1"/>
  <c r="J81" i="1"/>
  <c r="I81" i="1"/>
  <c r="L80" i="1"/>
  <c r="J80" i="1"/>
  <c r="I80" i="1"/>
  <c r="G80" i="1"/>
  <c r="L79" i="1"/>
  <c r="J79" i="1"/>
  <c r="I79" i="1"/>
  <c r="L78" i="1"/>
  <c r="J78" i="1"/>
  <c r="I78" i="1"/>
  <c r="M77" i="1"/>
  <c r="J77" i="1"/>
  <c r="I77" i="1"/>
  <c r="L77" i="1" s="1"/>
  <c r="L76" i="1"/>
  <c r="J76" i="1"/>
  <c r="I76" i="1"/>
  <c r="J75" i="1"/>
  <c r="M75" i="1" s="1"/>
  <c r="I75" i="1"/>
  <c r="M74" i="1"/>
  <c r="J74" i="1"/>
  <c r="I74" i="1"/>
  <c r="K72" i="1"/>
  <c r="J72" i="1"/>
  <c r="I72" i="1"/>
  <c r="G72" i="1"/>
  <c r="J71" i="1"/>
  <c r="M71" i="1" s="1"/>
  <c r="I71" i="1"/>
  <c r="L71" i="1" s="1"/>
  <c r="N71" i="1" s="1"/>
  <c r="O71" i="1" s="1"/>
  <c r="J70" i="1"/>
  <c r="M70" i="1" s="1"/>
  <c r="I70" i="1"/>
  <c r="M69" i="1"/>
  <c r="J69" i="1"/>
  <c r="I69" i="1"/>
  <c r="K69" i="1" s="1"/>
  <c r="M68" i="1"/>
  <c r="N68" i="1" s="1"/>
  <c r="O68" i="1" s="1"/>
  <c r="L68" i="1"/>
  <c r="K68" i="1"/>
  <c r="J68" i="1"/>
  <c r="I68" i="1"/>
  <c r="L67" i="1"/>
  <c r="J67" i="1"/>
  <c r="I67" i="1"/>
  <c r="L66" i="1"/>
  <c r="J66" i="1"/>
  <c r="I66" i="1"/>
  <c r="M65" i="1"/>
  <c r="J65" i="1"/>
  <c r="I65" i="1"/>
  <c r="L65" i="1" s="1"/>
  <c r="N65" i="1" s="1"/>
  <c r="O65" i="1" s="1"/>
  <c r="L64" i="1"/>
  <c r="J64" i="1"/>
  <c r="I64" i="1"/>
  <c r="M62" i="1"/>
  <c r="J62" i="1"/>
  <c r="I62" i="1"/>
  <c r="L62" i="1" s="1"/>
  <c r="N62" i="1" s="1"/>
  <c r="O62" i="1" s="1"/>
  <c r="G62" i="1"/>
  <c r="J61" i="1"/>
  <c r="M61" i="1" s="1"/>
  <c r="I61" i="1"/>
  <c r="L60" i="1"/>
  <c r="N60" i="1" s="1"/>
  <c r="O60" i="1" s="1"/>
  <c r="J60" i="1"/>
  <c r="M60" i="1" s="1"/>
  <c r="I60" i="1"/>
  <c r="K60" i="1" s="1"/>
  <c r="J59" i="1"/>
  <c r="M59" i="1" s="1"/>
  <c r="I59" i="1"/>
  <c r="L59" i="1" s="1"/>
  <c r="N59" i="1" s="1"/>
  <c r="O59" i="1" s="1"/>
  <c r="J58" i="1"/>
  <c r="M58" i="1" s="1"/>
  <c r="I58" i="1"/>
  <c r="M57" i="1"/>
  <c r="J57" i="1"/>
  <c r="I57" i="1"/>
  <c r="K57" i="1" s="1"/>
  <c r="M56" i="1"/>
  <c r="N56" i="1" s="1"/>
  <c r="L56" i="1"/>
  <c r="K56" i="1"/>
  <c r="J56" i="1"/>
  <c r="I56" i="1"/>
  <c r="J53" i="1"/>
  <c r="I53" i="1"/>
  <c r="K53" i="1" s="1"/>
  <c r="G53" i="1"/>
  <c r="J52" i="1"/>
  <c r="I52" i="1"/>
  <c r="L52" i="1" s="1"/>
  <c r="J51" i="1"/>
  <c r="M51" i="1" s="1"/>
  <c r="I51" i="1"/>
  <c r="M50" i="1"/>
  <c r="J50" i="1"/>
  <c r="I50" i="1"/>
  <c r="K50" i="1" s="1"/>
  <c r="M49" i="1"/>
  <c r="L49" i="1"/>
  <c r="N49" i="1" s="1"/>
  <c r="O49" i="1" s="1"/>
  <c r="K49" i="1"/>
  <c r="J49" i="1"/>
  <c r="I49" i="1"/>
  <c r="M48" i="1"/>
  <c r="N48" i="1" s="1"/>
  <c r="O48" i="1" s="1"/>
  <c r="L48" i="1"/>
  <c r="K48" i="1"/>
  <c r="J48" i="1"/>
  <c r="I48" i="1"/>
  <c r="M47" i="1"/>
  <c r="J47" i="1"/>
  <c r="I47" i="1"/>
  <c r="L47" i="1" s="1"/>
  <c r="N47" i="1" s="1"/>
  <c r="O47" i="1" s="1"/>
  <c r="J46" i="1"/>
  <c r="M46" i="1" s="1"/>
  <c r="I46" i="1"/>
  <c r="K46" i="1" s="1"/>
  <c r="O45" i="1"/>
  <c r="L45" i="1"/>
  <c r="N45" i="1" s="1"/>
  <c r="K45" i="1"/>
  <c r="J45" i="1"/>
  <c r="M45" i="1" s="1"/>
  <c r="I45" i="1"/>
  <c r="J44" i="1"/>
  <c r="I44" i="1"/>
  <c r="L44" i="1" s="1"/>
  <c r="J43" i="1"/>
  <c r="M43" i="1" s="1"/>
  <c r="I43" i="1"/>
  <c r="M42" i="1"/>
  <c r="L42" i="1"/>
  <c r="N42" i="1" s="1"/>
  <c r="O42" i="1" s="1"/>
  <c r="J42" i="1"/>
  <c r="I42" i="1"/>
  <c r="K42" i="1" s="1"/>
  <c r="M41" i="1"/>
  <c r="L41" i="1"/>
  <c r="N41" i="1" s="1"/>
  <c r="O41" i="1" s="1"/>
  <c r="K41" i="1"/>
  <c r="J41" i="1"/>
  <c r="I41" i="1"/>
  <c r="M40" i="1"/>
  <c r="L40" i="1"/>
  <c r="N40" i="1" s="1"/>
  <c r="O40" i="1" s="1"/>
  <c r="K40" i="1"/>
  <c r="J40" i="1"/>
  <c r="I40" i="1"/>
  <c r="J39" i="1"/>
  <c r="M39" i="1" s="1"/>
  <c r="I39" i="1"/>
  <c r="M38" i="1"/>
  <c r="L38" i="1"/>
  <c r="N38" i="1" s="1"/>
  <c r="J38" i="1"/>
  <c r="I38" i="1"/>
  <c r="K38" i="1" s="1"/>
  <c r="M36" i="1"/>
  <c r="N36" i="1" s="1"/>
  <c r="L36" i="1"/>
  <c r="K36" i="1"/>
  <c r="J36" i="1"/>
  <c r="I36" i="1"/>
  <c r="L34" i="1"/>
  <c r="J34" i="1"/>
  <c r="I34" i="1"/>
  <c r="L32" i="1"/>
  <c r="J32" i="1"/>
  <c r="I32" i="1"/>
  <c r="M31" i="1"/>
  <c r="J31" i="1"/>
  <c r="I31" i="1"/>
  <c r="K31" i="1" s="1"/>
  <c r="L30" i="1"/>
  <c r="J30" i="1"/>
  <c r="I30" i="1"/>
  <c r="J29" i="1"/>
  <c r="M29" i="1" s="1"/>
  <c r="I29" i="1"/>
  <c r="J28" i="1"/>
  <c r="M28" i="1" s="1"/>
  <c r="I28" i="1"/>
  <c r="M27" i="1"/>
  <c r="J27" i="1"/>
  <c r="I27" i="1"/>
  <c r="L27" i="1" s="1"/>
  <c r="M26" i="1"/>
  <c r="L26" i="1"/>
  <c r="N26" i="1" s="1"/>
  <c r="O26" i="1" s="1"/>
  <c r="J26" i="1"/>
  <c r="I26" i="1"/>
  <c r="K26" i="1" s="1"/>
  <c r="M25" i="1"/>
  <c r="N25" i="1" s="1"/>
  <c r="O25" i="1" s="1"/>
  <c r="L25" i="1"/>
  <c r="K25" i="1"/>
  <c r="J25" i="1"/>
  <c r="I25" i="1"/>
  <c r="M24" i="1"/>
  <c r="L24" i="1"/>
  <c r="N24" i="1" s="1"/>
  <c r="O24" i="1" s="1"/>
  <c r="J24" i="1"/>
  <c r="K24" i="1" s="1"/>
  <c r="I24" i="1"/>
  <c r="M23" i="1"/>
  <c r="J23" i="1"/>
  <c r="I23" i="1"/>
  <c r="L23" i="1" s="1"/>
  <c r="N23" i="1" s="1"/>
  <c r="B15" i="1"/>
  <c r="M14" i="1"/>
  <c r="K14" i="1"/>
  <c r="O10" i="1"/>
  <c r="M10" i="1"/>
  <c r="K10" i="1"/>
  <c r="B10" i="1"/>
  <c r="M9" i="1"/>
  <c r="K9" i="1"/>
  <c r="B9" i="1"/>
  <c r="O8" i="1"/>
  <c r="M8" i="1"/>
  <c r="K8" i="1"/>
  <c r="B8" i="1"/>
  <c r="O23" i="1" l="1"/>
  <c r="L28" i="1"/>
  <c r="N28" i="1" s="1"/>
  <c r="O28" i="1" s="1"/>
  <c r="K28" i="1"/>
  <c r="K23" i="1"/>
  <c r="O164" i="1"/>
  <c r="N163" i="1"/>
  <c r="L75" i="1"/>
  <c r="N75" i="1" s="1"/>
  <c r="O75" i="1" s="1"/>
  <c r="K75" i="1"/>
  <c r="L29" i="1"/>
  <c r="N29" i="1" s="1"/>
  <c r="O29" i="1" s="1"/>
  <c r="K29" i="1"/>
  <c r="O167" i="1"/>
  <c r="N27" i="1"/>
  <c r="O27" i="1" s="1"/>
  <c r="L31" i="1"/>
  <c r="N31" i="1" s="1"/>
  <c r="O31" i="1" s="1"/>
  <c r="K47" i="1"/>
  <c r="K59" i="1"/>
  <c r="L88" i="1"/>
  <c r="N88" i="1" s="1"/>
  <c r="K88" i="1"/>
  <c r="O133" i="1"/>
  <c r="N137" i="1"/>
  <c r="O138" i="1"/>
  <c r="K30" i="1"/>
  <c r="M30" i="1"/>
  <c r="M52" i="1"/>
  <c r="N52" i="1" s="1"/>
  <c r="O52" i="1" s="1"/>
  <c r="K52" i="1"/>
  <c r="M93" i="1"/>
  <c r="N93" i="1" s="1"/>
  <c r="O93" i="1" s="1"/>
  <c r="K93" i="1"/>
  <c r="K80" i="1"/>
  <c r="M80" i="1"/>
  <c r="N80" i="1" s="1"/>
  <c r="O80" i="1" s="1"/>
  <c r="L95" i="1"/>
  <c r="N95" i="1" s="1"/>
  <c r="K95" i="1"/>
  <c r="O38" i="1"/>
  <c r="O56" i="1"/>
  <c r="K78" i="1"/>
  <c r="M78" i="1"/>
  <c r="N78" i="1" s="1"/>
  <c r="O78" i="1" s="1"/>
  <c r="N215" i="1"/>
  <c r="O215" i="1" s="1"/>
  <c r="L39" i="1"/>
  <c r="N39" i="1" s="1"/>
  <c r="O39" i="1" s="1"/>
  <c r="K39" i="1"/>
  <c r="L51" i="1"/>
  <c r="N51" i="1" s="1"/>
  <c r="O51" i="1" s="1"/>
  <c r="K51" i="1"/>
  <c r="K62" i="1"/>
  <c r="M76" i="1"/>
  <c r="K76" i="1"/>
  <c r="N118" i="1"/>
  <c r="O119" i="1"/>
  <c r="N150" i="1"/>
  <c r="O150" i="1" s="1"/>
  <c r="K66" i="1"/>
  <c r="M66" i="1"/>
  <c r="N76" i="1"/>
  <c r="O76" i="1" s="1"/>
  <c r="K79" i="1"/>
  <c r="M79" i="1"/>
  <c r="N79" i="1" s="1"/>
  <c r="O79" i="1" s="1"/>
  <c r="O103" i="1"/>
  <c r="O173" i="1"/>
  <c r="K32" i="1"/>
  <c r="M32" i="1"/>
  <c r="N66" i="1"/>
  <c r="O66" i="1" s="1"/>
  <c r="N77" i="1"/>
  <c r="O77" i="1" s="1"/>
  <c r="O149" i="1"/>
  <c r="N148" i="1"/>
  <c r="O197" i="1"/>
  <c r="O36" i="1"/>
  <c r="N35" i="1"/>
  <c r="O35" i="1" s="1"/>
  <c r="L61" i="1"/>
  <c r="N61" i="1" s="1"/>
  <c r="O61" i="1" s="1"/>
  <c r="K61" i="1"/>
  <c r="M64" i="1"/>
  <c r="K64" i="1"/>
  <c r="K85" i="1"/>
  <c r="L85" i="1"/>
  <c r="N85" i="1" s="1"/>
  <c r="O156" i="1"/>
  <c r="O324" i="1"/>
  <c r="N32" i="1"/>
  <c r="O32" i="1" s="1"/>
  <c r="N64" i="1"/>
  <c r="O170" i="1"/>
  <c r="N169" i="1"/>
  <c r="O169" i="1" s="1"/>
  <c r="K34" i="1"/>
  <c r="M34" i="1"/>
  <c r="N34" i="1" s="1"/>
  <c r="M44" i="1"/>
  <c r="N44" i="1" s="1"/>
  <c r="O44" i="1" s="1"/>
  <c r="K44" i="1"/>
  <c r="N30" i="1"/>
  <c r="O30" i="1" s="1"/>
  <c r="K71" i="1"/>
  <c r="K67" i="1"/>
  <c r="M67" i="1"/>
  <c r="N67" i="1" s="1"/>
  <c r="O67" i="1" s="1"/>
  <c r="O189" i="1"/>
  <c r="L58" i="1"/>
  <c r="N58" i="1" s="1"/>
  <c r="O58" i="1" s="1"/>
  <c r="K58" i="1"/>
  <c r="L92" i="1"/>
  <c r="N92" i="1" s="1"/>
  <c r="O92" i="1" s="1"/>
  <c r="K92" i="1"/>
  <c r="K97" i="1"/>
  <c r="K111" i="1"/>
  <c r="M157" i="1"/>
  <c r="L157" i="1"/>
  <c r="N157" i="1" s="1"/>
  <c r="O157" i="1" s="1"/>
  <c r="N168" i="1"/>
  <c r="O168" i="1" s="1"/>
  <c r="N198" i="1"/>
  <c r="O198" i="1" s="1"/>
  <c r="K233" i="1"/>
  <c r="K326" i="1"/>
  <c r="L326" i="1"/>
  <c r="N326" i="1" s="1"/>
  <c r="O326" i="1" s="1"/>
  <c r="M72" i="1"/>
  <c r="L72" i="1"/>
  <c r="N72" i="1" s="1"/>
  <c r="O72" i="1" s="1"/>
  <c r="L110" i="1"/>
  <c r="N110" i="1" s="1"/>
  <c r="K110" i="1"/>
  <c r="M131" i="1"/>
  <c r="L135" i="1"/>
  <c r="N135" i="1" s="1"/>
  <c r="O135" i="1" s="1"/>
  <c r="K164" i="1"/>
  <c r="K27" i="1"/>
  <c r="L46" i="1"/>
  <c r="N46" i="1" s="1"/>
  <c r="O46" i="1" s="1"/>
  <c r="L50" i="1"/>
  <c r="N50" i="1" s="1"/>
  <c r="O50" i="1" s="1"/>
  <c r="K65" i="1"/>
  <c r="K77" i="1"/>
  <c r="L115" i="1"/>
  <c r="N115" i="1" s="1"/>
  <c r="L124" i="1"/>
  <c r="N124" i="1" s="1"/>
  <c r="O124" i="1" s="1"/>
  <c r="L127" i="1"/>
  <c r="N127" i="1" s="1"/>
  <c r="K130" i="1"/>
  <c r="K142" i="1"/>
  <c r="K149" i="1"/>
  <c r="K167" i="1"/>
  <c r="L175" i="1"/>
  <c r="N175" i="1" s="1"/>
  <c r="O175" i="1" s="1"/>
  <c r="K175" i="1"/>
  <c r="L181" i="1"/>
  <c r="N181" i="1" s="1"/>
  <c r="K181" i="1"/>
  <c r="M187" i="1"/>
  <c r="N187" i="1" s="1"/>
  <c r="K197" i="1"/>
  <c r="L200" i="1"/>
  <c r="N200" i="1" s="1"/>
  <c r="O200" i="1" s="1"/>
  <c r="K207" i="1"/>
  <c r="K214" i="1"/>
  <c r="M215" i="1"/>
  <c r="K246" i="1"/>
  <c r="L246" i="1"/>
  <c r="N246" i="1" s="1"/>
  <c r="O246" i="1" s="1"/>
  <c r="K267" i="1"/>
  <c r="N274" i="1"/>
  <c r="O274" i="1" s="1"/>
  <c r="M294" i="1"/>
  <c r="N294" i="1" s="1"/>
  <c r="K294" i="1"/>
  <c r="L305" i="1"/>
  <c r="N305" i="1" s="1"/>
  <c r="O305" i="1" s="1"/>
  <c r="K305" i="1"/>
  <c r="L387" i="1"/>
  <c r="N387" i="1" s="1"/>
  <c r="O387" i="1" s="1"/>
  <c r="K387" i="1"/>
  <c r="N412" i="1"/>
  <c r="O412" i="1" s="1"/>
  <c r="K414" i="1"/>
  <c r="O418" i="1"/>
  <c r="M98" i="1"/>
  <c r="L159" i="1"/>
  <c r="N159" i="1" s="1"/>
  <c r="K159" i="1"/>
  <c r="K205" i="1"/>
  <c r="N239" i="1"/>
  <c r="O239" i="1" s="1"/>
  <c r="K276" i="1"/>
  <c r="L276" i="1"/>
  <c r="N276" i="1" s="1"/>
  <c r="O276" i="1" s="1"/>
  <c r="K282" i="1"/>
  <c r="L354" i="1"/>
  <c r="N354" i="1" s="1"/>
  <c r="O354" i="1" s="1"/>
  <c r="K354" i="1"/>
  <c r="L74" i="1"/>
  <c r="N74" i="1" s="1"/>
  <c r="K74" i="1"/>
  <c r="L104" i="1"/>
  <c r="N104" i="1" s="1"/>
  <c r="O104" i="1" s="1"/>
  <c r="K104" i="1"/>
  <c r="L121" i="1"/>
  <c r="N121" i="1" s="1"/>
  <c r="O121" i="1" s="1"/>
  <c r="L161" i="1"/>
  <c r="N161" i="1" s="1"/>
  <c r="L57" i="1"/>
  <c r="N57" i="1" s="1"/>
  <c r="O57" i="1" s="1"/>
  <c r="L69" i="1"/>
  <c r="N69" i="1" s="1"/>
  <c r="O69" i="1" s="1"/>
  <c r="L82" i="1"/>
  <c r="N82" i="1" s="1"/>
  <c r="O82" i="1" s="1"/>
  <c r="K96" i="1"/>
  <c r="L192" i="1"/>
  <c r="N192" i="1" s="1"/>
  <c r="O192" i="1" s="1"/>
  <c r="K217" i="1"/>
  <c r="N225" i="1"/>
  <c r="O225" i="1" s="1"/>
  <c r="K230" i="1"/>
  <c r="L238" i="1"/>
  <c r="N238" i="1" s="1"/>
  <c r="O238" i="1" s="1"/>
  <c r="L256" i="1"/>
  <c r="N256" i="1" s="1"/>
  <c r="O256" i="1" s="1"/>
  <c r="K256" i="1"/>
  <c r="M260" i="1"/>
  <c r="N260" i="1" s="1"/>
  <c r="O260" i="1" s="1"/>
  <c r="K269" i="1"/>
  <c r="M269" i="1"/>
  <c r="N269" i="1" s="1"/>
  <c r="O269" i="1" s="1"/>
  <c r="L290" i="1"/>
  <c r="N290" i="1" s="1"/>
  <c r="O290" i="1" s="1"/>
  <c r="K290" i="1"/>
  <c r="O311" i="1"/>
  <c r="K362" i="1"/>
  <c r="K235" i="1"/>
  <c r="L235" i="1"/>
  <c r="N235" i="1" s="1"/>
  <c r="O235" i="1" s="1"/>
  <c r="L273" i="1"/>
  <c r="N273" i="1" s="1"/>
  <c r="O273" i="1" s="1"/>
  <c r="K273" i="1"/>
  <c r="L297" i="1"/>
  <c r="N297" i="1" s="1"/>
  <c r="O297" i="1" s="1"/>
  <c r="K297" i="1"/>
  <c r="N306" i="1"/>
  <c r="O306" i="1" s="1"/>
  <c r="K339" i="1"/>
  <c r="L339" i="1"/>
  <c r="N339" i="1" s="1"/>
  <c r="O339" i="1" s="1"/>
  <c r="M383" i="1"/>
  <c r="N383" i="1" s="1"/>
  <c r="O383" i="1" s="1"/>
  <c r="K383" i="1"/>
  <c r="L440" i="1"/>
  <c r="N440" i="1" s="1"/>
  <c r="O440" i="1" s="1"/>
  <c r="K440" i="1"/>
  <c r="K461" i="1"/>
  <c r="L461" i="1"/>
  <c r="N461" i="1" s="1"/>
  <c r="O461" i="1" s="1"/>
  <c r="L107" i="1"/>
  <c r="N107" i="1" s="1"/>
  <c r="K107" i="1"/>
  <c r="K112" i="1"/>
  <c r="L122" i="1"/>
  <c r="N122" i="1" s="1"/>
  <c r="O122" i="1" s="1"/>
  <c r="K122" i="1"/>
  <c r="K129" i="1"/>
  <c r="K141" i="1"/>
  <c r="K151" i="1"/>
  <c r="K156" i="1"/>
  <c r="K179" i="1"/>
  <c r="N199" i="1"/>
  <c r="O199" i="1" s="1"/>
  <c r="K206" i="1"/>
  <c r="N259" i="1"/>
  <c r="O259" i="1" s="1"/>
  <c r="K277" i="1"/>
  <c r="L360" i="1"/>
  <c r="N360" i="1" s="1"/>
  <c r="O360" i="1" s="1"/>
  <c r="K360" i="1"/>
  <c r="N98" i="1"/>
  <c r="O98" i="1" s="1"/>
  <c r="N112" i="1"/>
  <c r="O112" i="1" s="1"/>
  <c r="L128" i="1"/>
  <c r="N128" i="1" s="1"/>
  <c r="O128" i="1" s="1"/>
  <c r="K128" i="1"/>
  <c r="K133" i="1"/>
  <c r="L140" i="1"/>
  <c r="N140" i="1" s="1"/>
  <c r="K140" i="1"/>
  <c r="K170" i="1"/>
  <c r="L174" i="1"/>
  <c r="N174" i="1" s="1"/>
  <c r="O174" i="1" s="1"/>
  <c r="L178" i="1"/>
  <c r="N178" i="1" s="1"/>
  <c r="K178" i="1"/>
  <c r="L184" i="1"/>
  <c r="N184" i="1" s="1"/>
  <c r="K184" i="1"/>
  <c r="K194" i="1"/>
  <c r="N206" i="1"/>
  <c r="O206" i="1" s="1"/>
  <c r="N213" i="1"/>
  <c r="L216" i="1"/>
  <c r="N216" i="1" s="1"/>
  <c r="O216" i="1" s="1"/>
  <c r="K224" i="1"/>
  <c r="L231" i="1"/>
  <c r="N231" i="1" s="1"/>
  <c r="O231" i="1" s="1"/>
  <c r="K231" i="1"/>
  <c r="K237" i="1"/>
  <c r="K266" i="1"/>
  <c r="L266" i="1"/>
  <c r="N266" i="1" s="1"/>
  <c r="O266" i="1" s="1"/>
  <c r="M337" i="1"/>
  <c r="K337" i="1"/>
  <c r="L376" i="1"/>
  <c r="N376" i="1" s="1"/>
  <c r="O376" i="1" s="1"/>
  <c r="K376" i="1"/>
  <c r="L421" i="1"/>
  <c r="N421" i="1" s="1"/>
  <c r="O421" i="1" s="1"/>
  <c r="K421" i="1"/>
  <c r="L193" i="1"/>
  <c r="N193" i="1" s="1"/>
  <c r="O193" i="1" s="1"/>
  <c r="K193" i="1"/>
  <c r="L221" i="1"/>
  <c r="N221" i="1" s="1"/>
  <c r="O221" i="1" s="1"/>
  <c r="K221" i="1"/>
  <c r="L249" i="1"/>
  <c r="N249" i="1" s="1"/>
  <c r="O249" i="1" s="1"/>
  <c r="K249" i="1"/>
  <c r="L304" i="1"/>
  <c r="N304" i="1" s="1"/>
  <c r="O304" i="1" s="1"/>
  <c r="K304" i="1"/>
  <c r="M356" i="1"/>
  <c r="N356" i="1" s="1"/>
  <c r="O356" i="1" s="1"/>
  <c r="K356" i="1"/>
  <c r="K358" i="1"/>
  <c r="L358" i="1"/>
  <c r="N358" i="1" s="1"/>
  <c r="O358" i="1" s="1"/>
  <c r="L70" i="1"/>
  <c r="N70" i="1" s="1"/>
  <c r="O70" i="1" s="1"/>
  <c r="K70" i="1"/>
  <c r="K143" i="1"/>
  <c r="L43" i="1"/>
  <c r="N43" i="1" s="1"/>
  <c r="O43" i="1" s="1"/>
  <c r="K43" i="1"/>
  <c r="K453" i="1"/>
  <c r="L453" i="1"/>
  <c r="N453" i="1" s="1"/>
  <c r="O453" i="1" s="1"/>
  <c r="L83" i="1"/>
  <c r="N83" i="1" s="1"/>
  <c r="O83" i="1" s="1"/>
  <c r="K83" i="1"/>
  <c r="O153" i="1"/>
  <c r="N152" i="1"/>
  <c r="O152" i="1" s="1"/>
  <c r="M53" i="1"/>
  <c r="L53" i="1"/>
  <c r="K105" i="1"/>
  <c r="N131" i="1"/>
  <c r="O131" i="1" s="1"/>
  <c r="N143" i="1"/>
  <c r="O143" i="1" s="1"/>
  <c r="K280" i="1"/>
  <c r="M401" i="1"/>
  <c r="K401" i="1"/>
  <c r="K138" i="1"/>
  <c r="K176" i="1"/>
  <c r="K182" i="1"/>
  <c r="L204" i="1"/>
  <c r="N204" i="1" s="1"/>
  <c r="O204" i="1" s="1"/>
  <c r="K204" i="1"/>
  <c r="L228" i="1"/>
  <c r="N228" i="1" s="1"/>
  <c r="O228" i="1" s="1"/>
  <c r="K228" i="1"/>
  <c r="L236" i="1"/>
  <c r="N236" i="1" s="1"/>
  <c r="O236" i="1" s="1"/>
  <c r="K236" i="1"/>
  <c r="K263" i="1"/>
  <c r="L263" i="1"/>
  <c r="N263" i="1" s="1"/>
  <c r="O263" i="1" s="1"/>
  <c r="K274" i="1"/>
  <c r="L329" i="1"/>
  <c r="N329" i="1" s="1"/>
  <c r="O329" i="1" s="1"/>
  <c r="K329" i="1"/>
  <c r="L351" i="1"/>
  <c r="N351" i="1" s="1"/>
  <c r="O351" i="1" s="1"/>
  <c r="K351" i="1"/>
  <c r="O386" i="1"/>
  <c r="N401" i="1"/>
  <c r="O401" i="1" s="1"/>
  <c r="M412" i="1"/>
  <c r="K412" i="1"/>
  <c r="N446" i="1"/>
  <c r="O446" i="1" s="1"/>
  <c r="O447" i="1"/>
  <c r="L253" i="1"/>
  <c r="N253" i="1" s="1"/>
  <c r="O253" i="1" s="1"/>
  <c r="K253" i="1"/>
  <c r="M283" i="1"/>
  <c r="N283" i="1" s="1"/>
  <c r="O283" i="1" s="1"/>
  <c r="K283" i="1"/>
  <c r="N288" i="1"/>
  <c r="O288" i="1" s="1"/>
  <c r="K296" i="1"/>
  <c r="L296" i="1"/>
  <c r="N296" i="1" s="1"/>
  <c r="O296" i="1" s="1"/>
  <c r="L309" i="1"/>
  <c r="N309" i="1" s="1"/>
  <c r="O309" i="1" s="1"/>
  <c r="K309" i="1"/>
  <c r="N313" i="1"/>
  <c r="O313" i="1" s="1"/>
  <c r="K316" i="1"/>
  <c r="L316" i="1"/>
  <c r="N316" i="1" s="1"/>
  <c r="O316" i="1" s="1"/>
  <c r="K327" i="1"/>
  <c r="L327" i="1"/>
  <c r="N327" i="1" s="1"/>
  <c r="O327" i="1" s="1"/>
  <c r="K333" i="1"/>
  <c r="M333" i="1"/>
  <c r="N338" i="1"/>
  <c r="O338" i="1" s="1"/>
  <c r="K340" i="1"/>
  <c r="L344" i="1"/>
  <c r="N344" i="1" s="1"/>
  <c r="O344" i="1" s="1"/>
  <c r="K344" i="1"/>
  <c r="L352" i="1"/>
  <c r="N352" i="1" s="1"/>
  <c r="O352" i="1" s="1"/>
  <c r="K352" i="1"/>
  <c r="O374" i="1"/>
  <c r="K403" i="1"/>
  <c r="L403" i="1"/>
  <c r="N403" i="1" s="1"/>
  <c r="O403" i="1" s="1"/>
  <c r="O416" i="1"/>
  <c r="O456" i="1"/>
  <c r="M460" i="1"/>
  <c r="L460" i="1"/>
  <c r="N460" i="1" s="1"/>
  <c r="O460" i="1" s="1"/>
  <c r="L470" i="1"/>
  <c r="N470" i="1" s="1"/>
  <c r="O470" i="1" s="1"/>
  <c r="M470" i="1"/>
  <c r="L220" i="1"/>
  <c r="N220" i="1" s="1"/>
  <c r="O220" i="1" s="1"/>
  <c r="K220" i="1"/>
  <c r="L255" i="1"/>
  <c r="N255" i="1" s="1"/>
  <c r="L272" i="1"/>
  <c r="N272" i="1" s="1"/>
  <c r="O272" i="1" s="1"/>
  <c r="K272" i="1"/>
  <c r="K279" i="1"/>
  <c r="L281" i="1"/>
  <c r="N281" i="1" s="1"/>
  <c r="O281" i="1" s="1"/>
  <c r="M302" i="1"/>
  <c r="N302" i="1" s="1"/>
  <c r="O302" i="1" s="1"/>
  <c r="K302" i="1"/>
  <c r="O303" i="1"/>
  <c r="K306" i="1"/>
  <c r="N325" i="1"/>
  <c r="O325" i="1" s="1"/>
  <c r="N333" i="1"/>
  <c r="O333" i="1" s="1"/>
  <c r="L336" i="1"/>
  <c r="N336" i="1" s="1"/>
  <c r="O336" i="1" s="1"/>
  <c r="K336" i="1"/>
  <c r="K348" i="1"/>
  <c r="M348" i="1"/>
  <c r="N348" i="1" s="1"/>
  <c r="O348" i="1" s="1"/>
  <c r="L361" i="1"/>
  <c r="N361" i="1" s="1"/>
  <c r="O361" i="1" s="1"/>
  <c r="K369" i="1"/>
  <c r="L371" i="1"/>
  <c r="N371" i="1" s="1"/>
  <c r="O371" i="1" s="1"/>
  <c r="N389" i="1"/>
  <c r="O389" i="1" s="1"/>
  <c r="M393" i="1"/>
  <c r="N393" i="1" s="1"/>
  <c r="M407" i="1"/>
  <c r="N407" i="1" s="1"/>
  <c r="K407" i="1"/>
  <c r="N415" i="1"/>
  <c r="O415" i="1" s="1"/>
  <c r="M426" i="1"/>
  <c r="K426" i="1"/>
  <c r="O432" i="1"/>
  <c r="G459" i="1"/>
  <c r="L458" i="1"/>
  <c r="M458" i="1"/>
  <c r="M468" i="1"/>
  <c r="L468" i="1"/>
  <c r="N468" i="1" s="1"/>
  <c r="O468" i="1" s="1"/>
  <c r="L244" i="1"/>
  <c r="N244" i="1" s="1"/>
  <c r="O244" i="1" s="1"/>
  <c r="K244" i="1"/>
  <c r="L264" i="1"/>
  <c r="N264" i="1" s="1"/>
  <c r="O264" i="1" s="1"/>
  <c r="K264" i="1"/>
  <c r="N275" i="1"/>
  <c r="O275" i="1" s="1"/>
  <c r="N282" i="1"/>
  <c r="O282" i="1" s="1"/>
  <c r="L312" i="1"/>
  <c r="N312" i="1" s="1"/>
  <c r="O312" i="1" s="1"/>
  <c r="K312" i="1"/>
  <c r="K314" i="1"/>
  <c r="M314" i="1"/>
  <c r="N314" i="1" s="1"/>
  <c r="O314" i="1" s="1"/>
  <c r="L328" i="1"/>
  <c r="N328" i="1" s="1"/>
  <c r="O328" i="1" s="1"/>
  <c r="K328" i="1"/>
  <c r="N357" i="1"/>
  <c r="O357" i="1" s="1"/>
  <c r="N378" i="1"/>
  <c r="O378" i="1" s="1"/>
  <c r="O392" i="1"/>
  <c r="K400" i="1"/>
  <c r="M400" i="1"/>
  <c r="N427" i="1"/>
  <c r="O427" i="1" s="1"/>
  <c r="M439" i="1"/>
  <c r="K439" i="1"/>
  <c r="L466" i="1"/>
  <c r="N466" i="1" s="1"/>
  <c r="O466" i="1" s="1"/>
  <c r="M466" i="1"/>
  <c r="K318" i="1"/>
  <c r="M318" i="1"/>
  <c r="N321" i="1"/>
  <c r="O321" i="1" s="1"/>
  <c r="L331" i="1"/>
  <c r="N331" i="1" s="1"/>
  <c r="O331" i="1" s="1"/>
  <c r="K331" i="1"/>
  <c r="N346" i="1"/>
  <c r="O346" i="1" s="1"/>
  <c r="L399" i="1"/>
  <c r="N399" i="1" s="1"/>
  <c r="O399" i="1" s="1"/>
  <c r="K399" i="1"/>
  <c r="K428" i="1"/>
  <c r="L428" i="1"/>
  <c r="N428" i="1" s="1"/>
  <c r="O428" i="1" s="1"/>
  <c r="O445" i="1"/>
  <c r="N444" i="1"/>
  <c r="L449" i="1"/>
  <c r="M449" i="1"/>
  <c r="K463" i="1"/>
  <c r="L463" i="1"/>
  <c r="N463" i="1" s="1"/>
  <c r="O463" i="1" s="1"/>
  <c r="L278" i="1"/>
  <c r="N278" i="1" s="1"/>
  <c r="O278" i="1" s="1"/>
  <c r="K278" i="1"/>
  <c r="N289" i="1"/>
  <c r="O289" i="1" s="1"/>
  <c r="M291" i="1"/>
  <c r="N291" i="1" s="1"/>
  <c r="O291" i="1" s="1"/>
  <c r="K291" i="1"/>
  <c r="N318" i="1"/>
  <c r="O318" i="1" s="1"/>
  <c r="N330" i="1"/>
  <c r="O330" i="1" s="1"/>
  <c r="M377" i="1"/>
  <c r="K377" i="1"/>
  <c r="L396" i="1"/>
  <c r="N396" i="1" s="1"/>
  <c r="O396" i="1" s="1"/>
  <c r="K396" i="1"/>
  <c r="N400" i="1"/>
  <c r="O400" i="1" s="1"/>
  <c r="N413" i="1"/>
  <c r="O413" i="1" s="1"/>
  <c r="N431" i="1"/>
  <c r="O431" i="1" s="1"/>
  <c r="G467" i="1"/>
  <c r="M465" i="1"/>
  <c r="N465" i="1" s="1"/>
  <c r="O465" i="1" s="1"/>
  <c r="N284" i="1"/>
  <c r="O284" i="1" s="1"/>
  <c r="L286" i="1"/>
  <c r="N286" i="1" s="1"/>
  <c r="O286" i="1" s="1"/>
  <c r="K286" i="1"/>
  <c r="K298" i="1"/>
  <c r="M345" i="1"/>
  <c r="N345" i="1" s="1"/>
  <c r="K345" i="1"/>
  <c r="N370" i="1"/>
  <c r="O370" i="1" s="1"/>
  <c r="N377" i="1"/>
  <c r="O377" i="1" s="1"/>
  <c r="N379" i="1"/>
  <c r="O379" i="1" s="1"/>
  <c r="L411" i="1"/>
  <c r="N411" i="1" s="1"/>
  <c r="O411" i="1" s="1"/>
  <c r="K411" i="1"/>
  <c r="L455" i="1"/>
  <c r="N455" i="1" s="1"/>
  <c r="O455" i="1" s="1"/>
  <c r="L436" i="1"/>
  <c r="N436" i="1" s="1"/>
  <c r="O436" i="1" s="1"/>
  <c r="K436" i="1"/>
  <c r="K451" i="1"/>
  <c r="L451" i="1"/>
  <c r="N451" i="1" s="1"/>
  <c r="N464" i="1"/>
  <c r="O464" i="1" s="1"/>
  <c r="N337" i="1"/>
  <c r="O337" i="1" s="1"/>
  <c r="N369" i="1"/>
  <c r="O369" i="1" s="1"/>
  <c r="L382" i="1"/>
  <c r="N382" i="1" s="1"/>
  <c r="O382" i="1" s="1"/>
  <c r="K382" i="1"/>
  <c r="N426" i="1"/>
  <c r="O426" i="1" s="1"/>
  <c r="L435" i="1"/>
  <c r="N435" i="1" s="1"/>
  <c r="O435" i="1" s="1"/>
  <c r="K435" i="1"/>
  <c r="N439" i="1"/>
  <c r="O439" i="1" s="1"/>
  <c r="K335" i="1"/>
  <c r="L343" i="1"/>
  <c r="N343" i="1" s="1"/>
  <c r="O343" i="1" s="1"/>
  <c r="K343" i="1"/>
  <c r="K364" i="1"/>
  <c r="L375" i="1"/>
  <c r="N375" i="1" s="1"/>
  <c r="O375" i="1" s="1"/>
  <c r="K375" i="1"/>
  <c r="L410" i="1"/>
  <c r="N410" i="1" s="1"/>
  <c r="O410" i="1" s="1"/>
  <c r="K410" i="1"/>
  <c r="G471" i="1"/>
  <c r="L335" i="1"/>
  <c r="N335" i="1" s="1"/>
  <c r="O335" i="1" s="1"/>
  <c r="L350" i="1"/>
  <c r="N350" i="1" s="1"/>
  <c r="O350" i="1" s="1"/>
  <c r="L367" i="1"/>
  <c r="N367" i="1" s="1"/>
  <c r="O367" i="1" s="1"/>
  <c r="K367" i="1"/>
  <c r="K386" i="1"/>
  <c r="L395" i="1"/>
  <c r="N395" i="1" s="1"/>
  <c r="O395" i="1" s="1"/>
  <c r="L424" i="1"/>
  <c r="N424" i="1" s="1"/>
  <c r="O424" i="1" s="1"/>
  <c r="K424" i="1"/>
  <c r="G469" i="1"/>
  <c r="K313" i="1"/>
  <c r="L359" i="1"/>
  <c r="N359" i="1" s="1"/>
  <c r="O359" i="1" s="1"/>
  <c r="K359" i="1"/>
  <c r="L404" i="1"/>
  <c r="N404" i="1" s="1"/>
  <c r="O404" i="1" s="1"/>
  <c r="K404" i="1"/>
  <c r="K437" i="1"/>
  <c r="O294" i="1" l="1"/>
  <c r="N293" i="1"/>
  <c r="O293" i="1" s="1"/>
  <c r="O393" i="1"/>
  <c r="N391" i="1"/>
  <c r="O391" i="1" s="1"/>
  <c r="O345" i="1"/>
  <c r="N323" i="1"/>
  <c r="N186" i="1"/>
  <c r="O187" i="1"/>
  <c r="O34" i="1"/>
  <c r="N33" i="1"/>
  <c r="O33" i="1" s="1"/>
  <c r="O407" i="1"/>
  <c r="N406" i="1"/>
  <c r="N458" i="1"/>
  <c r="O458" i="1" s="1"/>
  <c r="N177" i="1"/>
  <c r="O177" i="1" s="1"/>
  <c r="O178" i="1"/>
  <c r="M469" i="1"/>
  <c r="L469" i="1"/>
  <c r="N469" i="1" s="1"/>
  <c r="O469" i="1" s="1"/>
  <c r="M471" i="1"/>
  <c r="L471" i="1"/>
  <c r="N471" i="1" s="1"/>
  <c r="O471" i="1" s="1"/>
  <c r="N254" i="1"/>
  <c r="O254" i="1" s="1"/>
  <c r="O255" i="1"/>
  <c r="N385" i="1"/>
  <c r="O385" i="1" s="1"/>
  <c r="N53" i="1"/>
  <c r="O53" i="1" s="1"/>
  <c r="N158" i="1"/>
  <c r="O158" i="1" s="1"/>
  <c r="O159" i="1"/>
  <c r="N180" i="1"/>
  <c r="O180" i="1" s="1"/>
  <c r="O181" i="1"/>
  <c r="N196" i="1"/>
  <c r="O196" i="1" s="1"/>
  <c r="N172" i="1"/>
  <c r="N55" i="1"/>
  <c r="N139" i="1"/>
  <c r="O139" i="1" s="1"/>
  <c r="O140" i="1"/>
  <c r="N113" i="1"/>
  <c r="O113" i="1" s="1"/>
  <c r="O115" i="1"/>
  <c r="O64" i="1"/>
  <c r="N63" i="1"/>
  <c r="O63" i="1" s="1"/>
  <c r="N147" i="1"/>
  <c r="O147" i="1" s="1"/>
  <c r="O148" i="1"/>
  <c r="N37" i="1"/>
  <c r="O37" i="1" s="1"/>
  <c r="N166" i="1"/>
  <c r="O163" i="1"/>
  <c r="N162" i="1"/>
  <c r="O162" i="1" s="1"/>
  <c r="O451" i="1"/>
  <c r="N422" i="1"/>
  <c r="O422" i="1" s="1"/>
  <c r="N160" i="1"/>
  <c r="O160" i="1" s="1"/>
  <c r="O161" i="1"/>
  <c r="O88" i="1"/>
  <c r="N87" i="1"/>
  <c r="O95" i="1"/>
  <c r="N94" i="1"/>
  <c r="O94" i="1" s="1"/>
  <c r="M467" i="1"/>
  <c r="L467" i="1"/>
  <c r="N467" i="1" s="1"/>
  <c r="O467" i="1" s="1"/>
  <c r="N183" i="1"/>
  <c r="O183" i="1" s="1"/>
  <c r="O184" i="1"/>
  <c r="N417" i="1"/>
  <c r="O417" i="1" s="1"/>
  <c r="O110" i="1"/>
  <c r="N109" i="1"/>
  <c r="O109" i="1" s="1"/>
  <c r="N102" i="1"/>
  <c r="O118" i="1"/>
  <c r="N117" i="1"/>
  <c r="N449" i="1"/>
  <c r="N188" i="1"/>
  <c r="O188" i="1" s="1"/>
  <c r="O444" i="1"/>
  <c r="M459" i="1"/>
  <c r="L459" i="1"/>
  <c r="N459" i="1" s="1"/>
  <c r="O459" i="1" s="1"/>
  <c r="N106" i="1"/>
  <c r="O106" i="1" s="1"/>
  <c r="O107" i="1"/>
  <c r="N155" i="1"/>
  <c r="N136" i="1"/>
  <c r="O136" i="1" s="1"/>
  <c r="O137" i="1"/>
  <c r="N22" i="1"/>
  <c r="O213" i="1"/>
  <c r="N212" i="1"/>
  <c r="N310" i="1"/>
  <c r="O310" i="1" s="1"/>
  <c r="N73" i="1"/>
  <c r="O73" i="1" s="1"/>
  <c r="O74" i="1"/>
  <c r="N126" i="1"/>
  <c r="O127" i="1"/>
  <c r="O85" i="1"/>
  <c r="N84" i="1"/>
  <c r="O84" i="1" s="1"/>
  <c r="N132" i="1"/>
  <c r="O132" i="1" s="1"/>
  <c r="O449" i="1" l="1"/>
  <c r="N448" i="1"/>
  <c r="O55" i="1"/>
  <c r="N54" i="1"/>
  <c r="O54" i="1" s="1"/>
  <c r="O102" i="1"/>
  <c r="N101" i="1"/>
  <c r="O101" i="1" s="1"/>
  <c r="O22" i="1"/>
  <c r="N21" i="1"/>
  <c r="O21" i="1" s="1"/>
  <c r="N165" i="1"/>
  <c r="O165" i="1" s="1"/>
  <c r="O166" i="1"/>
  <c r="N154" i="1"/>
  <c r="O154" i="1" s="1"/>
  <c r="O155" i="1"/>
  <c r="O323" i="1"/>
  <c r="N322" i="1"/>
  <c r="O322" i="1" s="1"/>
  <c r="O117" i="1"/>
  <c r="N116" i="1"/>
  <c r="O116" i="1" s="1"/>
  <c r="N171" i="1"/>
  <c r="O171" i="1" s="1"/>
  <c r="O172" i="1"/>
  <c r="N450" i="1"/>
  <c r="O450" i="1" s="1"/>
  <c r="O406" i="1"/>
  <c r="N405" i="1"/>
  <c r="O405" i="1" s="1"/>
  <c r="N211" i="1"/>
  <c r="O211" i="1" s="1"/>
  <c r="O212" i="1"/>
  <c r="O87" i="1"/>
  <c r="N86" i="1"/>
  <c r="O86" i="1" s="1"/>
  <c r="O126" i="1"/>
  <c r="N125" i="1"/>
  <c r="O125" i="1" s="1"/>
  <c r="O186" i="1"/>
  <c r="N185" i="1"/>
  <c r="O185" i="1" s="1"/>
  <c r="O448" i="1" l="1"/>
  <c r="N443" i="1"/>
  <c r="O443" i="1" s="1"/>
</calcChain>
</file>

<file path=xl/sharedStrings.xml><?xml version="1.0" encoding="utf-8"?>
<sst xmlns="http://schemas.openxmlformats.org/spreadsheetml/2006/main" count="2034" uniqueCount="1215">
  <si>
    <t>PLANILHA ORÇAMENTÁRIA</t>
  </si>
  <si>
    <t>21/03/2025</t>
  </si>
  <si>
    <t>CIDADE : JACUPIRANGA SP</t>
  </si>
  <si>
    <t>LOCAL : RUA ORQUIDEA N°107</t>
  </si>
  <si>
    <t xml:space="preserve"> BAIRRO  : CHÀCARAS DAS ROSAS </t>
  </si>
  <si>
    <t>COORDENADAS:  24°42'00.9"S 48°00'34.3"W</t>
  </si>
  <si>
    <t>PLANILHA C/ DESONERAÇÃO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</si>
  <si>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</si>
  <si>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</si>
  <si>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</si>
  <si>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</si>
  <si>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</si>
  <si>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</si>
  <si>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</si>
  <si>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</si>
  <si>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</si>
  <si>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</si>
  <si>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>M. O.</t>
  </si>
  <si>
    <t>MAT.</t>
  </si>
  <si>
    <t>SERVIÇOS PRELIMINARES E INDIRETOS</t>
  </si>
  <si>
    <t xml:space="preserve"> 1.1 </t>
  </si>
  <si>
    <t>CANTEIRO DE OBRAS</t>
  </si>
  <si>
    <t xml:space="preserve"> 1.1.1 </t>
  </si>
  <si>
    <t xml:space="preserve"> 02.02.150 </t>
  </si>
  <si>
    <t>CPOS/CDHU</t>
  </si>
  <si>
    <t>LOCAÇÃO DE CONTAINER TIPO DEPÓSITO - ÁREA MÍNIMA DE 13,80 M²</t>
  </si>
  <si>
    <t>unxmês</t>
  </si>
  <si>
    <t xml:space="preserve"> 1.1.2 </t>
  </si>
  <si>
    <t>02.01.021</t>
  </si>
  <si>
    <t>CONSTRUÇÃO PROVISÓRIA EM MADEIRA - FORNECIMENTO E MONTAGEM</t>
  </si>
  <si>
    <t>m²</t>
  </si>
  <si>
    <t xml:space="preserve"> 1.1.3 </t>
  </si>
  <si>
    <t>02.02.140</t>
  </si>
  <si>
    <t>LOCAÇÃO DE CONTAINER TIPO SANITÁRIO COM 2 VASOS SANITÁRIOS, 2 LAVATÓRIOS, 2 MICTÓRIOS E 4 PONTOS PARA CHUVEIRO - ÁREA MÍNIMA DE 13,80 M2</t>
  </si>
  <si>
    <t xml:space="preserve"> 1.1.4 </t>
  </si>
  <si>
    <t>CONSTRUÇÃO PROVISÓRIA EM MADEIRA (REFEITÓRIO) - FORNECIMENTO E MONTAGEM</t>
  </si>
  <si>
    <t xml:space="preserve"> 1.1.5 </t>
  </si>
  <si>
    <t xml:space="preserve"> 95648 </t>
  </si>
  <si>
    <t>SINAPI</t>
  </si>
  <si>
    <t>KIT CAVALETE PARA MEDIÇÃO DE ÁGUA - ENTRADA INDIVIDUALIZADA, EM CPVC DN 28 MM (1"), PARA 1 MEDIDOR - FORNECIMENTO E INSTALAÇÃO (EXCLUSIVE HIDRÔMETRO). AF_03/2024</t>
  </si>
  <si>
    <t>UN</t>
  </si>
  <si>
    <t xml:space="preserve"> 1.1.6 </t>
  </si>
  <si>
    <t xml:space="preserve"> 95673 </t>
  </si>
  <si>
    <t>HIDRÔMETRO DN 1/2", 1,5 M3/H - FORNECIMENTO E INSTALAÇÃO. AF_03/2024</t>
  </si>
  <si>
    <t xml:space="preserve"> 1.1.7 </t>
  </si>
  <si>
    <t xml:space="preserve"> 101509 </t>
  </si>
  <si>
    <t>ENTRADA DE ENERGIA ELÉTRICA, AÉREA, TRIFÁSICA, COM CAIXA DE EMBUTIR, CABO DE 10 MM2 E DISJUNTOR DIN 50A (NÃO INCLUSO O POSTE DE CONCRETO). AF_07/2020_PS</t>
  </si>
  <si>
    <t xml:space="preserve"> 1.1.8 </t>
  </si>
  <si>
    <t xml:space="preserve"> 103689 </t>
  </si>
  <si>
    <t>FORNECIMENTO E INSTALAÇÃO DE PLACA DE OBRA COM CHAPA GALVANIZADA E ESTRUTURA DE MADEIRA. AF_03/2022_PS</t>
  </si>
  <si>
    <t xml:space="preserve"> 1.1.9 </t>
  </si>
  <si>
    <t xml:space="preserve"> 05.07.040 </t>
  </si>
  <si>
    <t>REMOÇÃO DE ENTULHO SEPARADO DE OBRA COM CAÇAMBA METÁLICA - TERRA, ALVENARIA, CONCRETO, ARGAMASSA, MADEIRA, PAPEL, PLÁSTICO OU METAL</t>
  </si>
  <si>
    <t>m³</t>
  </si>
  <si>
    <t xml:space="preserve"> 1.1.10 </t>
  </si>
  <si>
    <t xml:space="preserve"> 98459 </t>
  </si>
  <si>
    <t>TAPUME COM TELHA METÁLICA. AF_03/2024</t>
  </si>
  <si>
    <t xml:space="preserve"> 1.2 </t>
  </si>
  <si>
    <t>ADMINISTRAÇÃO LOCAL DA OBRA</t>
  </si>
  <si>
    <t xml:space="preserve"> 1.2.1 </t>
  </si>
  <si>
    <t xml:space="preserve"> 93565 </t>
  </si>
  <si>
    <t>ENGENHEIRO CIVIL DE OBRA JUNIOR COM ENCARGOS COMPLEMENTARES</t>
  </si>
  <si>
    <t>MES</t>
  </si>
  <si>
    <t xml:space="preserve"> 1.4 </t>
  </si>
  <si>
    <t>EQUIPAMENTOS DE APOIO</t>
  </si>
  <si>
    <t xml:space="preserve"> 1.4.1 </t>
  </si>
  <si>
    <t>02.05.212</t>
  </si>
  <si>
    <t>ANDAIME TUBULAR FACHADEIRO COM PISO METÁLICO E SAPATAS AJUSTÁVEIS</t>
  </si>
  <si>
    <t>M2XMÊS</t>
  </si>
  <si>
    <t>FUNDAÇÃO</t>
  </si>
  <si>
    <t xml:space="preserve"> 2.1 </t>
  </si>
  <si>
    <t xml:space="preserve"> 99059 </t>
  </si>
  <si>
    <t>LOCAÇÃO CONVENCIONAL DE OBRA, UTILIZANDO GABARITO DE TÁBUAS CORRIDAS PONTALETADAS A CADA 2,00M -  2 UTILIZAÇÕES. AF_03/2024</t>
  </si>
  <si>
    <t>M</t>
  </si>
  <si>
    <t xml:space="preserve"> 2.2 </t>
  </si>
  <si>
    <t xml:space="preserve"> 90100 </t>
  </si>
  <si>
    <t>ESCAVAÇÃO MECANIZADA DE VALA COM PROF. ATÉ 1,5 M (MÉDIA MONTANTE E JUSANTE/UMA COMPOSIÇÃO POR TRECHO), RETROESCAV. (0,26 M3), LARG. DE 0,8 M A 1,5 M, EM SOLO DE 1A CATEGORIA, EM LOCAIS COM ALTO NÍVEL DE INTERFERÊNCIA. AF_02/2021</t>
  </si>
  <si>
    <t xml:space="preserve"> 2.3 </t>
  </si>
  <si>
    <t xml:space="preserve"> 93358 </t>
  </si>
  <si>
    <t>ESCAVAÇÃO MANUAL DE VALA COM PROFUNDIDADE MENOR OU IGUAL A 1,30 M. AF_02/2021</t>
  </si>
  <si>
    <t xml:space="preserve"> 2.4 </t>
  </si>
  <si>
    <t xml:space="preserve"> 100324 </t>
  </si>
  <si>
    <t>LASTRO COM MATERIAL GRANULAR (PEDRA BRITADA N.1 E PEDRA BRITADA N.2), APLICADO EM PISOS OU LAJES SOBRE SOLO, ESPESSURA DE *10 CM*. AF_01/2024</t>
  </si>
  <si>
    <t xml:space="preserve"> 2.5 </t>
  </si>
  <si>
    <t xml:space="preserve"> 96534 </t>
  </si>
  <si>
    <t>FABRICAÇÃO, MONTAGEM E DESMONTAGEM DE FÔRMA PARA BLOCO DE COROAMENTO, EM MADEIRA SERRADA, E=25 MM, 4 UTILIZAÇÕES. AF_01/2024</t>
  </si>
  <si>
    <t xml:space="preserve"> 2.6 </t>
  </si>
  <si>
    <t xml:space="preserve"> 96543 </t>
  </si>
  <si>
    <t>ARMAÇÃO DE BLOCO UTILIZANDO AÇO CA-60 DE 5 MM - MONTAGEM. AF_01/2024</t>
  </si>
  <si>
    <t>KG</t>
  </si>
  <si>
    <t xml:space="preserve"> 2.7 </t>
  </si>
  <si>
    <t xml:space="preserve"> 96544 </t>
  </si>
  <si>
    <t>ARMAÇÃO DE BLOCO UTILIZANDO AÇO CA-50 DE 6,3 MM - MONTAGEM. AF_01/2024</t>
  </si>
  <si>
    <t xml:space="preserve"> 2.8 </t>
  </si>
  <si>
    <t xml:space="preserve"> 96545 </t>
  </si>
  <si>
    <t>ARMAÇÃO DE BLOCO UTILIZANDO AÇO CA-50 DE 8 MM - MONTAGEM. AF_01/2024</t>
  </si>
  <si>
    <t xml:space="preserve"> 2.9 </t>
  </si>
  <si>
    <t xml:space="preserve"> 96546 </t>
  </si>
  <si>
    <t>ARMAÇÃO DE BLOCO UTILIZANDO AÇO CA-50 DE 10 MM - MONTAGEM. AF_01/2024</t>
  </si>
  <si>
    <t xml:space="preserve"> 2.10 </t>
  </si>
  <si>
    <t xml:space="preserve"> 104920 </t>
  </si>
  <si>
    <t>ARMAÇÃO DE BLOCO, SAPATA ISOLADA, VIGA BALDRAME E SAPATA CORRIDA UTILIZANDO AÇO CA-50 DE 12,5 MM - MONTAGEM. AF_01/2024</t>
  </si>
  <si>
    <t xml:space="preserve"> 2.11 </t>
  </si>
  <si>
    <t xml:space="preserve"> 104921 </t>
  </si>
  <si>
    <t>ARMAÇÃO DE BLOCO, SAPATA ISOLADA, VIGA BALDRAME E SAPATA CORRIDA UTILIZANDO AÇO CA-50 DE 16 MM - MONTAGEM. AF_01/2024</t>
  </si>
  <si>
    <t xml:space="preserve"> 2.12 </t>
  </si>
  <si>
    <t xml:space="preserve"> 96557 </t>
  </si>
  <si>
    <t>CONCRETAGEM DE BLOCO DE COROAMENTO OU VIGA BALDRAME, FCK 30 MPA, COM USO DE BOMBA - LANÇAMENTO, ADENSAMENTO E ACABAMENTO. AF_01/2024</t>
  </si>
  <si>
    <t xml:space="preserve"> 2.13 </t>
  </si>
  <si>
    <t xml:space="preserve"> 100574 </t>
  </si>
  <si>
    <t>ESPALHAMENTO DE MATERIAL COM TRATOR DE ESTEIRAS. AF_11/2019</t>
  </si>
  <si>
    <t xml:space="preserve"> 2.14 </t>
  </si>
  <si>
    <t xml:space="preserve"> 93382 </t>
  </si>
  <si>
    <t>REATERRO MANUAL DE VALAS, COM COMPACTADOR DE SOLOS DE PERCUSSÃO. AF_08/2023</t>
  </si>
  <si>
    <t xml:space="preserve"> 2.15 </t>
  </si>
  <si>
    <t xml:space="preserve"> 98557 </t>
  </si>
  <si>
    <t>IMPERMEABILIZAÇÃO DE SUPERFÍCIE COM EMULSÃO ASFÁLTICA, 2 DEMÃOS. AF_09/2023</t>
  </si>
  <si>
    <t xml:space="preserve"> 2.16 </t>
  </si>
  <si>
    <t>SERVIÇOS TÉCNICOS ESPECIALIZADOS PARA ACOMPANHAMENTO DE EXECUÇÕES PROFUNDAS E ESTRUTURAS DE CONTENÇÃO</t>
  </si>
  <si>
    <t>H</t>
  </si>
  <si>
    <t>ESTRUTURA</t>
  </si>
  <si>
    <t xml:space="preserve"> 3.1 </t>
  </si>
  <si>
    <t>PILARES</t>
  </si>
  <si>
    <t xml:space="preserve"> 3.1.1 </t>
  </si>
  <si>
    <t xml:space="preserve"> 92423 </t>
  </si>
  <si>
    <t>MONTAGEM E DESMONTAGEM DE FÔRMA DE PILARES RETANGULARES E ESTRUTURAS SIMILARES, PÉ-DIREITO SIMPLES, EM CHAPA DE MADEIRA COMPENSADA RESINADA, 6 UTILIZAÇÕES. AF_09/2020</t>
  </si>
  <si>
    <t xml:space="preserve"> 3.1.2 </t>
  </si>
  <si>
    <t xml:space="preserve"> 92762 </t>
  </si>
  <si>
    <t>ARMAÇÃO DE PILAR OU VIGA DE ESTRUTURA CONVENCIONAL DE CONCRETO ARMADO UTILIZANDO AÇO CA-50 DE 10,0 MM - MONTAGEM. AF_06/2022</t>
  </si>
  <si>
    <t xml:space="preserve"> 3.1.3 </t>
  </si>
  <si>
    <t xml:space="preserve"> 92763 </t>
  </si>
  <si>
    <t>ARMAÇÃO DE PILAR OU VIGA DE ESTRUTURA CONVENCIONAL DE CONCRETO ARMADO UTILIZANDO AÇO CA-50 DE 12,5 MM - MONTAGEM. AF_06/2022</t>
  </si>
  <si>
    <t xml:space="preserve"> 3.1.4 </t>
  </si>
  <si>
    <t xml:space="preserve"> 92764 </t>
  </si>
  <si>
    <t>ARMAÇÃO DE PILAR OU VIGA DE ESTRUTURA CONVENCIONAL DE CONCRETO ARMADO UTILIZANDO AÇO CA-50 DE 16,0 MM - MONTAGEM. AF_06/2022</t>
  </si>
  <si>
    <t xml:space="preserve"> 3.1.5 </t>
  </si>
  <si>
    <t xml:space="preserve"> 92759 </t>
  </si>
  <si>
    <t>ARMAÇÃO DE PILAR OU VIGA DE ESTRUTURA CONVENCIONAL DE CONCRETO ARMADO UTILIZANDO AÇO CA-60 DE 5,0 MM - MONTAGEM. AF_06/2022</t>
  </si>
  <si>
    <t xml:space="preserve"> 3.1.6 </t>
  </si>
  <si>
    <t>CONCRETO FCK = 30MPA, TRAÇO 1:2, 1:2,5 (EM MASSA SECA DE CIMENTO / AREIA MÉDIA / BRITA 1) - PREPARO MECÂNICO COM BETONEIRA 400 L. AF_05/2021</t>
  </si>
  <si>
    <t xml:space="preserve"> 3.1.7 </t>
  </si>
  <si>
    <t xml:space="preserve"> 3.2 </t>
  </si>
  <si>
    <t>VIGAS</t>
  </si>
  <si>
    <t xml:space="preserve"> 3.2.1 </t>
  </si>
  <si>
    <t xml:space="preserve"> 92460 </t>
  </si>
  <si>
    <t>MONTAGEM E DESMONTAGEM DE FÔRMA DE VIGA, ESCORAMENTO METÁLICO, PÉ-DIREITO SIMPLES, EM CHAPA DE MADEIRA RESINADA, 6 UTILIZAÇÕES. AF_09/2020</t>
  </si>
  <si>
    <t xml:space="preserve"> 3.2.2 </t>
  </si>
  <si>
    <t xml:space="preserve"> 92760 </t>
  </si>
  <si>
    <t>ARMAÇÃO DE PILAR OU VIGA DE ESTRUTURA CONVENCIONAL DE CONCRETO ARMADO UTILIZANDO AÇO CA-50 DE 6,3 MM - MONTAGEM. AF_06/2022</t>
  </si>
  <si>
    <t xml:space="preserve"> 3.2.3 </t>
  </si>
  <si>
    <t xml:space="preserve"> 92761 </t>
  </si>
  <si>
    <t>ARMAÇÃO DE PILAR OU VIGA DE ESTRUTURA CONVENCIONAL DE CONCRETO ARMADO UTILIZANDO AÇO CA-50 DE 8,0 MM - MONTAGEM. AF_06/2022</t>
  </si>
  <si>
    <t xml:space="preserve"> 3.2.4 </t>
  </si>
  <si>
    <t xml:space="preserve"> 3.2.5 </t>
  </si>
  <si>
    <t xml:space="preserve"> 3.2.6 </t>
  </si>
  <si>
    <t xml:space="preserve"> 3.2.7 </t>
  </si>
  <si>
    <t xml:space="preserve"> 3.2.8 </t>
  </si>
  <si>
    <t xml:space="preserve"> 3.2.9 </t>
  </si>
  <si>
    <t xml:space="preserve"> 3.3 </t>
  </si>
  <si>
    <t>LAJES</t>
  </si>
  <si>
    <t xml:space="preserve"> 3.3.1 </t>
  </si>
  <si>
    <t xml:space="preserve"> 92515 </t>
  </si>
  <si>
    <t>MONTAGEM E DESMONTAGEM DE FÔRMA DE LAJE MACIÇA, PÉ-DIREITO DUPLO, EM CHAPA DE MADEIRA COMPENSADA RESINADA, 6 UTILIZAÇÕES. AF_09/2020</t>
  </si>
  <si>
    <t xml:space="preserve"> 3.3.2 </t>
  </si>
  <si>
    <t xml:space="preserve"> 92768 </t>
  </si>
  <si>
    <t>ARMAÇÃO DE LAJE DE ESTRUTURA CONVENCIONAL DE CONCRETO ARMADO UTILIZANDO AÇO CA-60 DE 5,0 MM - MONTAGEM. AF_06/2022</t>
  </si>
  <si>
    <t xml:space="preserve"> 3.3.3 </t>
  </si>
  <si>
    <t xml:space="preserve"> 92769 </t>
  </si>
  <si>
    <t>ARMAÇÃO DE LAJE DE ESTRUTURA CONVENCIONAL DE CONCRETO ARMADO UTILIZANDO AÇO CA-50 DE 6,3 MM - MONTAGEM. AF_06/2022</t>
  </si>
  <si>
    <t xml:space="preserve"> 3.3.4 </t>
  </si>
  <si>
    <t xml:space="preserve"> 92770 </t>
  </si>
  <si>
    <t>ARMAÇÃO DE LAJE DE ESTRUTURA CONVENCIONAL DE CONCRETO ARMADO UTILIZANDO AÇO CA-50 DE 8,0 MM - MONTAGEM. AF_06/2022</t>
  </si>
  <si>
    <t xml:space="preserve"> 3.3.5 </t>
  </si>
  <si>
    <t xml:space="preserve"> 92771 </t>
  </si>
  <si>
    <t>ARMAÇÃO DE LAJE DE ESTRUTURA CONVENCIONAL DE CONCRETO ARMADO UTILIZANDO AÇO CA-50 DE 10,0 MM - MONTAGEM. AF_06/2022</t>
  </si>
  <si>
    <t xml:space="preserve"> 3.3.6 </t>
  </si>
  <si>
    <t xml:space="preserve"> 3.3.7 </t>
  </si>
  <si>
    <t xml:space="preserve"> 3.3.8 </t>
  </si>
  <si>
    <t>13.01.310</t>
  </si>
  <si>
    <t>LAJE PRÉ-FABRICADA UNIDIRECIONAL EM VIGA TRELIÇADA/LAJOTA EM EPS LT 12 (8+4), COM CAPA DE CONCRETO DE 25 MPA</t>
  </si>
  <si>
    <t xml:space="preserve"> 3.3.9 </t>
  </si>
  <si>
    <t>13.01.320</t>
  </si>
  <si>
    <t>LAJE PRÉ-FABRICADA UNIDIRECIONAL EM VIGA TRELIÇADA/LAJOTA EM EPS LT 16 (12+4), COM CAPA DE CONCRETO DE 25 MPA</t>
  </si>
  <si>
    <t xml:space="preserve"> 3.3.10 </t>
  </si>
  <si>
    <t>13.01.330</t>
  </si>
  <si>
    <t>LAJE PRÉ-FABRICADA UNIDIRECIONAL EM VIGA TRELIÇADA/LAJOTA EM EPS LT 20 (16+4), COM CAPA DE CONCRETO DE 25 MPA</t>
  </si>
  <si>
    <t xml:space="preserve"> 3.4 </t>
  </si>
  <si>
    <t>BASE RESERVATÓRIO</t>
  </si>
  <si>
    <t xml:space="preserve"> 3.4.1 </t>
  </si>
  <si>
    <t xml:space="preserve"> 97103 </t>
  </si>
  <si>
    <t>EXECUÇÃO DE RADIER, ESPESSURA DE 20 CM, FCK = 30 MPA, COM USO DE FORMAS EM MADEIRA SERRADA. AF_09/2021</t>
  </si>
  <si>
    <t>ALVENARIA, VEDAÇÕES E DIVISÓRIAS</t>
  </si>
  <si>
    <t xml:space="preserve"> 4.1 </t>
  </si>
  <si>
    <t>ALVENARIA DE VEDAÇÃO</t>
  </si>
  <si>
    <t xml:space="preserve"> 4.1.1 </t>
  </si>
  <si>
    <t xml:space="preserve"> 103322 </t>
  </si>
  <si>
    <t>ALVENARIA DE VEDAÇÃO DE BLOCOS CERÂMICOS FURADOS NA VERTICAL DE 9X19X39 CM (ESPESSURA 9 CM) E ARGAMASSA DE ASSENTAMENTO COM PREPARO EM BETONEIRA. AF_12/2021</t>
  </si>
  <si>
    <t xml:space="preserve"> 4.1.2 </t>
  </si>
  <si>
    <t xml:space="preserve"> 103324 </t>
  </si>
  <si>
    <t>ALVENARIA DE VEDAÇÃO DE BLOCOS CERÂMICOS FURADOS NA VERTICAL DE 14X19X39 CM (ESPESSURA 14 CM) E ARGAMASSA DE ASSENTAMENTO COM PREPARO EM BETONEIRA. AF_12/2021</t>
  </si>
  <si>
    <t xml:space="preserve"> 4.1.3 </t>
  </si>
  <si>
    <t>ALVENARIA DE VEDAÇÃO COM ELEMENTO VAZADO DE CERÂMICA (COBOGÓ) DE 7X20X20CM E ARGAMASSA DE ASSENTAMENTO COM PREPARO EM BETONEIRA. AF_05/2020</t>
  </si>
  <si>
    <t xml:space="preserve"> 4.1.4 </t>
  </si>
  <si>
    <t xml:space="preserve"> 93191 </t>
  </si>
  <si>
    <t>VERGA MOLDADA IN LOCO COM UTILIZAÇÃO DE BLOCOS CANALETA, ESPESSURA DE *20* CM. AF_03/2024</t>
  </si>
  <si>
    <t xml:space="preserve"> 4.1.5 </t>
  </si>
  <si>
    <t xml:space="preserve"> 93199 </t>
  </si>
  <si>
    <t>CONTRAVERGA MOLDADA IN LOCO COM UTILIZAÇÃO DE BLOCOS CANALETA, ESPESSURA DE *20* CM. AF_03/2024</t>
  </si>
  <si>
    <t xml:space="preserve"> 4.1.6 </t>
  </si>
  <si>
    <t>FIXAÇÃO (ENCUNHAMENTO) DE ALVENARIA DE VEDAÇÃO COM ARGAMASSA APLICADA COM BISNAGA. AF_03/2024</t>
  </si>
  <si>
    <t xml:space="preserve"> 4.2 </t>
  </si>
  <si>
    <t>DRYWALL</t>
  </si>
  <si>
    <t xml:space="preserve"> 4.2.1 </t>
  </si>
  <si>
    <t xml:space="preserve"> 96359 </t>
  </si>
  <si>
    <t>PAREDE COM SISTEMA EM CHAPAS DE GESSO PARA DRYWALL, USO INTERNO, COM DUAS FACES SIMPLES E ESTRUTURA METÁLICA COM GUIAS SIMPLES PARA PAREDES COM ÁREA LÍQUIDA MAIOR OU IGUAL A 6 M2, COM VÃOS. AF_07/2023_PS</t>
  </si>
  <si>
    <t xml:space="preserve"> 4.2.2 </t>
  </si>
  <si>
    <t>PAREDE COM SISTEMA EM CHAPAS DE GESSO RU PARA DRYWALL, USO INTERNO, COM DUAS FACES SIMPLES E ESTRUTURA METÁLICA COM GUIAS SIMPLES PARA PAREDES COM ÁREA LÍQUIDA MAIOR OU IGUAL A 6 M2, COM VÃOS. AF_07/2023_PS</t>
  </si>
  <si>
    <t xml:space="preserve"> 4.2.3 </t>
  </si>
  <si>
    <t xml:space="preserve"> 4.2.4 </t>
  </si>
  <si>
    <t>PAREDE COM SISTEMA EM CHAPAS DE GESSO RU PARA DRYWALL COM ISOLAMENTO ACUSTICO, USO INTERNO, COM DUAS FACES SIMPLES E ESTRUTURA METÁLICA COM GUIAS SIMPLES PARA PAREDES COM ÁREA LÍQUIDA MAIOR OU IGUAL A 6 M2, COM VÃOS.</t>
  </si>
  <si>
    <t xml:space="preserve"> 4.3 </t>
  </si>
  <si>
    <t>DIVISÓRIAS</t>
  </si>
  <si>
    <t xml:space="preserve"> 4.3.1 </t>
  </si>
  <si>
    <t xml:space="preserve"> 102257 </t>
  </si>
  <si>
    <t>DIVISORIA SANITÁRIA, TIPO CABINE, EM PAINEL DE GRANILITE, ESP = 3CM, ASSENTADO COM ARGAMASSA COLANTE AC III-E, EXCLUSIVE FERRAGENS. AF_01/2021</t>
  </si>
  <si>
    <t>COBERTURA</t>
  </si>
  <si>
    <t xml:space="preserve"> 5.1 </t>
  </si>
  <si>
    <t xml:space="preserve"> 5.1.1 </t>
  </si>
  <si>
    <t xml:space="preserve"> 100776 </t>
  </si>
  <si>
    <t>ESTRUTURA TRELIÇADA DE COBERTURA, TIPO ARCO, COM LIGAÇÕES PARAFUSADAS, INCLUSOS PERFIS METÁLICOS, CHAPAS METÁLICAS, MÃO DE OBRA E TRANSPORTE COM GUINDASTE - FORNECIMENTO E INSTALAÇÃO. AF_01/2020_PSA</t>
  </si>
  <si>
    <t xml:space="preserve"> 5.1.2 </t>
  </si>
  <si>
    <t xml:space="preserve"> 100383 </t>
  </si>
  <si>
    <t>FABRICAÇÃO E INSTALAÇÃO DE PONTALETES DE MADEIRA NÃO APARELHADA PARA TELHADOS COM ATÉ 2 ÁGUAS E COM TELHA ONDULADA DE FIBROCIMENTO, ALUMÍNIO OU PLÁSTICA EM EDIFÍCIO RESIDENCIAL DE MÚLTIPLOS PAVIMENTOS, INCLUSO TRANSPORTE VERTICAL. AF_07/2019</t>
  </si>
  <si>
    <t xml:space="preserve"> 5.1.3 </t>
  </si>
  <si>
    <t xml:space="preserve"> 92543 </t>
  </si>
  <si>
    <t>TRAMA DE MADEIRA COMPOSTA POR TERÇAS PARA TELHADOS DE ATÉ 2 ÁGUAS PARA TELHA ONDULADA DE FIBROCIMENTO, METÁLICA, PLÁSTICA OU TERMOACÚSTICA, INCLUSO TRANSPORTE VERTICAL. AF_07/2019</t>
  </si>
  <si>
    <t xml:space="preserve"> 5.2 </t>
  </si>
  <si>
    <t>TELHAMENTO</t>
  </si>
  <si>
    <t xml:space="preserve"> 5.2.1 </t>
  </si>
  <si>
    <t xml:space="preserve"> 94207 </t>
  </si>
  <si>
    <t>TELHAMENTO COM TELHA ONDULADA DE FIBROCIMENTO E = 6 MM, COM RECOBRIMENTO LATERAL DE 1/4 DE ONDA PARA TELHADO COM INCLINAÇÃO MAIOR QUE 10°, COM ATÉ 2 ÁGUAS, INCLUSO IÇAMENTO. AF_07/2019</t>
  </si>
  <si>
    <t xml:space="preserve"> 5.2.2 </t>
  </si>
  <si>
    <t>16.32.120</t>
  </si>
  <si>
    <t>COBERTURA PLANA EM CHAPA POLICARBONATO ALVEOLAR 10mm</t>
  </si>
  <si>
    <t xml:space="preserve"> 5.3 </t>
  </si>
  <si>
    <t>COMPLEMENTOS</t>
  </si>
  <si>
    <t xml:space="preserve"> 5.3.1 </t>
  </si>
  <si>
    <t xml:space="preserve"> 94229 </t>
  </si>
  <si>
    <t>CALHA EM CHAPA DE AÇO GALVANIZADO NÚMERO 24, DESENVOLVIMENTO DE 100 CM, INCLUSO TRANSPORTE VERTICAL. AF_07/2019</t>
  </si>
  <si>
    <t xml:space="preserve"> 5.3.2 </t>
  </si>
  <si>
    <t xml:space="preserve"> 94231 </t>
  </si>
  <si>
    <t>RUFO EM CHAPA DE AÇO GALVANIZADO NÚMERO 24, CORTE DE 25 CM, INCLUSO TRANSPORTE VERTICAL. AF_07/2019</t>
  </si>
  <si>
    <t xml:space="preserve"> 5.3.3 </t>
  </si>
  <si>
    <t xml:space="preserve"> 94451 </t>
  </si>
  <si>
    <t>CUMEEIRA PARA TELHA DE FIBROCIMENTO ESTRUTURAL E = 6 MM, INCLUSO ACESSÓRIOS DE FIXAÇÃO E IÇAMENTO. AF_07/2019</t>
  </si>
  <si>
    <t>IMPERMEABILIZAÇÃO</t>
  </si>
  <si>
    <t xml:space="preserve"> 6.1 </t>
  </si>
  <si>
    <t xml:space="preserve"> 98556 </t>
  </si>
  <si>
    <t>IMPERMEABILIZIMPERMEABILIZAÇÃO DE SUPERFÍCIE COM ARGAMASSA POLIMÉRICA / MEMBRANA ACRÍLICA, 4 DEMÃOS, REFORÇADA COM VÉU DE POLIÉSTER (MAV). AF_09/2023</t>
  </si>
  <si>
    <t xml:space="preserve"> 6.2 </t>
  </si>
  <si>
    <t xml:space="preserve"> 98555 </t>
  </si>
  <si>
    <t>IMPERMEABILIZAÇÃO DE SUPERFÍCIE COM ARGAMASSA POLIMÉRICA / MEMBRANA ACRÍLICA, 3 DEMÃOS. AF_09/2023</t>
  </si>
  <si>
    <t>ESQUADRIAS</t>
  </si>
  <si>
    <t xml:space="preserve"> 7.1 </t>
  </si>
  <si>
    <t>ESQUADRIAS DE MADEIRA</t>
  </si>
  <si>
    <t xml:space="preserve"> 7.1.1 </t>
  </si>
  <si>
    <t>PORTAS DE MADEIRA</t>
  </si>
  <si>
    <t xml:space="preserve"> 7.1.1.1 </t>
  </si>
  <si>
    <t xml:space="preserve"> 90844 </t>
  </si>
  <si>
    <t>KIT DE PORTA DE MADEIRA PARA PINTURA, SEMI-OCA (LEVE OU MÉDIA), PADRÃO MÉDIO, 90X210CM, ESPESSURA DE 3,5CM, ITENS INCLUSOS: DOBRADIÇAS, MONTAGEM E INSTALAÇÃO DO BATENTE, FECHADURA COM EXECUÇÃO DO FURO - FORNECIMENTO E INSTALAÇÃO. AF_12/2019</t>
  </si>
  <si>
    <t xml:space="preserve"> 7.1.1.2 </t>
  </si>
  <si>
    <t xml:space="preserve"> 90843 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</si>
  <si>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</si>
  <si>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 xml:space="preserve"> 7.1.1.3 </t>
  </si>
  <si>
    <t>23.09.060</t>
  </si>
  <si>
    <t>PORTA LISA COM BATENTE MADEIRA - 120 X 210 CM</t>
  </si>
  <si>
    <t xml:space="preserve"> 7.1.1.4 </t>
  </si>
  <si>
    <t xml:space="preserve"> 23.08.242 </t>
  </si>
  <si>
    <t>PORTA LISA DE CORRER SUSPENSA EM MADEIRA COM BATENTE</t>
  </si>
  <si>
    <t xml:space="preserve"> 7.1.1.5 </t>
  </si>
  <si>
    <t>23.09.630</t>
  </si>
  <si>
    <t>Porta lisa com batente madeira, 2 folhas - 140 x 210 cm</t>
  </si>
  <si>
    <t xml:space="preserve"> 7.1.1.6 </t>
  </si>
  <si>
    <t>23.09.100</t>
  </si>
  <si>
    <t>PORTA LISA COM BATENTE MADEIRA - 160 X 210 CM</t>
  </si>
  <si>
    <t xml:space="preserve"> 7.2 </t>
  </si>
  <si>
    <t>ESQUADRIAS DE ALUMÍNIO</t>
  </si>
  <si>
    <t xml:space="preserve"> 7.2.1 </t>
  </si>
  <si>
    <t>PORTAS DE ALUMÍNIO</t>
  </si>
  <si>
    <t xml:space="preserve"> 7.2.1.1 </t>
  </si>
  <si>
    <t xml:space="preserve"> 91338 </t>
  </si>
  <si>
    <t>PORTA DE ALUMÍNIO DE ABRIR COM LAMBRI, COM GUARNIÇÃO, FIXAÇÃO COM PARAFUSOS - FORNECIMENTO E INSTALAÇÃO. AF_12/2019</t>
  </si>
  <si>
    <t xml:space="preserve"> 7.2.1.2 </t>
  </si>
  <si>
    <t xml:space="preserve"> 25.02.110 </t>
  </si>
  <si>
    <t>PORTA VENEZIANA DE ABRIR EM ALUMÍNIO, SOB MEDIDA</t>
  </si>
  <si>
    <t xml:space="preserve"> 7.2.1.3 </t>
  </si>
  <si>
    <t>25.02.010</t>
  </si>
  <si>
    <t>PORTA DE ENTRADA DE ABRIR EM ALUMÍNIO COM VIDRO, LINHA COMERCIAL</t>
  </si>
  <si>
    <t xml:space="preserve"> 7.2.1.4 </t>
  </si>
  <si>
    <t>25.02.221</t>
  </si>
  <si>
    <t>PORTA DE CORRER EM ALUMÍNIO COM VENEZIANA DE VIDRO - COR BRANCA</t>
  </si>
  <si>
    <t xml:space="preserve"> 7.2.1.5 </t>
  </si>
  <si>
    <t>25.02.230</t>
  </si>
  <si>
    <t>PORTA EM ALUMÍNIO ANODIZADO DE ABRIR, SOB MEDIDA - BRONZE/PRETO</t>
  </si>
  <si>
    <t xml:space="preserve"> 7.2.2 </t>
  </si>
  <si>
    <t>JANELAS DE ALUMÍNIO</t>
  </si>
  <si>
    <t xml:space="preserve"> 7.2.2.1 </t>
  </si>
  <si>
    <t xml:space="preserve"> 94569 </t>
  </si>
  <si>
    <t>JANELA DE ALUMÍNIO TIPO MAXIM-AR, COM VIDROS, BATENTE E FERRAGENS. EXCLUSIVE ALIZAR, ACABAMENTO E CONTRAMARCO. FORNECIMENTO E INSTALAÇÃO. AF_12/2019</t>
  </si>
  <si>
    <t xml:space="preserve"> 7.2.2.2 </t>
  </si>
  <si>
    <t xml:space="preserve"> 100674 </t>
  </si>
  <si>
    <t>JANELA FIXA DE ALUMÍNIO PARA VIDRO, COM VIDRO, BATENTE E FERRAGENS. EXCLUSIVE ACABAMENTO, ALIZAR E CONTRAMARCO. FORNECIMENTO E INSTALAÇÃO. AF_12/2019</t>
  </si>
  <si>
    <t xml:space="preserve"> 7.2.2.3 </t>
  </si>
  <si>
    <t xml:space="preserve"> 94573 </t>
  </si>
  <si>
    <t>JANELA DE ALUMÍNIO DE CORRER COM 4 FOLHAS PARA VIDROS, COM VIDROS, BATENTE, ACABAMENTO COM ACETATO OU BRILHANTE E FERRAGENS. EXCLUSIVE ALIZAR E CONTRAMARCO. FORNECIMENTO E INSTALAÇÃO. AF_12/2019</t>
  </si>
  <si>
    <t xml:space="preserve"> 7.3 </t>
  </si>
  <si>
    <t>ESQUADRIAS METÁLICAS</t>
  </si>
  <si>
    <t xml:space="preserve"> 7.3.1 </t>
  </si>
  <si>
    <t>PORTAS METÁLICAS</t>
  </si>
  <si>
    <t xml:space="preserve"> 7.3.1.1 </t>
  </si>
  <si>
    <t>24.02.054</t>
  </si>
  <si>
    <t>PORTA CORTA-FOGO CLASSE P.90, COM BARRA ANTIPÂNICO NUMA FACE E MAÇANETA NA OUTRA, COMPLETA</t>
  </si>
  <si>
    <t xml:space="preserve"> 7.4 </t>
  </si>
  <si>
    <t>ACESSÓRIOS</t>
  </si>
  <si>
    <t xml:space="preserve"> 7.4.1 </t>
  </si>
  <si>
    <t xml:space="preserve"> 28.20.650 </t>
  </si>
  <si>
    <t>PUXADOR DUPLO EM AÇO INOXIDÁVEL, PARA PORTA DE MADEIRA, ALUMÍNIO OU VIDRO, DE 350 MM</t>
  </si>
  <si>
    <t>un</t>
  </si>
  <si>
    <t xml:space="preserve"> 7.4.2 </t>
  </si>
  <si>
    <t>30.01.120</t>
  </si>
  <si>
    <t>BARRA DE APOIO RETA, PARA PESSOAS COM MOBILIDADE REDUZIDA, EM TUBO DE AÇO INOXIDÁVEL DE 1/14' X 400 MM</t>
  </si>
  <si>
    <t xml:space="preserve"> 7.4.3 </t>
  </si>
  <si>
    <t>ALIZAR DE 5X1, 5CM PARA PORTA FIXADO COM PREGOS, PADRÃO MÉDIO - FORNECIMENTO E INSTALAÇÃO. AF_12/2019</t>
  </si>
  <si>
    <t xml:space="preserve"> 7.4.4 </t>
  </si>
  <si>
    <t>28.01.171</t>
  </si>
  <si>
    <t>MOLA AÉREA HIDRÁULICA, PARA PORTA COM ESFORÇO DE 60 KG ATÉ 80 KG</t>
  </si>
  <si>
    <t xml:space="preserve"> 7.4.5 </t>
  </si>
  <si>
    <t xml:space="preserve"> 28.01.550 </t>
  </si>
  <si>
    <t>FECHADURA COM MAÇANETA TIPO ALAVANCA EM AÇO INOXIDÁVEL, PARA PORTA EXTERNA</t>
  </si>
  <si>
    <t xml:space="preserve"> 7.4.6 </t>
  </si>
  <si>
    <t xml:space="preserve"> 100709 </t>
  </si>
  <si>
    <t>DOBRADIÇA EM AÇO/FERRO, 3" X 21/2", E=1,9 A 2MM, SEN ANEL, CROMADO OU ZINCADO, TAMPA BOLA, COM PARAFUSOS. AF_12/2019</t>
  </si>
  <si>
    <t xml:space="preserve"> 7.4.7 </t>
  </si>
  <si>
    <t>24.01.280</t>
  </si>
  <si>
    <t>CAIXÍLIO TIPO GUICHÊ EM CHAPA DE AÇO</t>
  </si>
  <si>
    <t>REVESTIMENTO DE PAREDE</t>
  </si>
  <si>
    <t xml:space="preserve"> 8.1 </t>
  </si>
  <si>
    <t>REVESTIMENTO ARGAMASSADO</t>
  </si>
  <si>
    <t xml:space="preserve"> 8.1.1 </t>
  </si>
  <si>
    <t xml:space="preserve"> 87905 </t>
  </si>
  <si>
    <t>CHAPISCO APLICADO EM ALVENARIA (COM PRESENÇA DE VÃOS) E ESTRUTURAS DE CONCRETO DE FACHADA, COM COLHER DE PEDREIRO.  ARGAMASSA TRAÇO 1:3 COM PREPARO EM BETONEIRA 400L. AF_10/2022</t>
  </si>
  <si>
    <t xml:space="preserve"> 8.1.2 </t>
  </si>
  <si>
    <t xml:space="preserve"> 104958 </t>
  </si>
  <si>
    <t>MASSA ÚNICA, EM ARGAMASSA TRAÇO 1:2:8 PREPARO MECÂNICO, APLICADA MANUALMENTE EM PAREDES INTERNAS DE AMBIENTES COM ÁREA MAIOR QUE 10M², E = 10MM, COM TALISCAS. AF_03/2024</t>
  </si>
  <si>
    <t xml:space="preserve"> 8.1.3 </t>
  </si>
  <si>
    <t xml:space="preserve"> 87553 </t>
  </si>
  <si>
    <t>EMBOÇO, EM ARGAMASSA TRAÇO 1:2:8, PREPARO MECÂNICO, APLICADO MANUALMENTE EM PAREDES INTERNAS DE AMBIENTES COM ÁREA MAIOR QUE 10M², E = 10MM, COM TALISCAS. AF_03/2024</t>
  </si>
  <si>
    <t xml:space="preserve"> 8.2 </t>
  </si>
  <si>
    <t>REVESTIMENTO CERÂMICO</t>
  </si>
  <si>
    <t xml:space="preserve"> 8.2.1 </t>
  </si>
  <si>
    <t xml:space="preserve"> 104611 </t>
  </si>
  <si>
    <t>REVESTIMENTO CERÂMICO PARA PAREDES INTERNAS COM PLACAS TIPO ESMALTADA EXTRA DE DIMENSÕES 60X60 CM APLICADAS NA ALTURA INTEIRA DAS PAREDES. AF_02/2023_PE</t>
  </si>
  <si>
    <t>REVESTIMENTO DE PISO INTERNO</t>
  </si>
  <si>
    <t xml:space="preserve"> 9.1 </t>
  </si>
  <si>
    <t xml:space="preserve"> 9.1.1 </t>
  </si>
  <si>
    <t xml:space="preserve"> 94995 </t>
  </si>
  <si>
    <t>EXECUÇÃO DE PASSEIO (CALÇADA) OU PISO DE CONCRETO COM CONCRETO MOLDADO IN LOCO, USINADO, ACABAMENTO CONVENCIONAL, ESPESSURA 8 CM, ARMADO. AF_08/2022</t>
  </si>
  <si>
    <t xml:space="preserve"> 9.1.2 </t>
  </si>
  <si>
    <t>17.01.020</t>
  </si>
  <si>
    <t>ARGAMASSA DE REGULARIZAÇÃO E/OU PROTEÇÃO</t>
  </si>
  <si>
    <t xml:space="preserve"> 9.2 </t>
  </si>
  <si>
    <t>GRANILITE</t>
  </si>
  <si>
    <t xml:space="preserve"> 9.2.1 </t>
  </si>
  <si>
    <t>17.10.020</t>
  </si>
  <si>
    <t>PISO EM GRANILETE MOLDADO NO LOCAL</t>
  </si>
  <si>
    <t xml:space="preserve"> 9.3 </t>
  </si>
  <si>
    <t>RODAPÉ</t>
  </si>
  <si>
    <t xml:space="preserve"> 9.3.1 </t>
  </si>
  <si>
    <t>17.10.410</t>
  </si>
  <si>
    <t>RODAPÉ EM PLACAS PRÉ-MOLDADAS DE GRANILITE, ACABAMENTO ENCERADO, ATÉ 10 CM</t>
  </si>
  <si>
    <t>m</t>
  </si>
  <si>
    <t>REVESTIMENTO DE PISO EXTERNO</t>
  </si>
  <si>
    <t xml:space="preserve"> 10.1 </t>
  </si>
  <si>
    <t xml:space="preserve"> 10.1.1 </t>
  </si>
  <si>
    <t>REVESTIMENTO DE TETO</t>
  </si>
  <si>
    <t xml:space="preserve"> 11.1 </t>
  </si>
  <si>
    <t xml:space="preserve"> 11.1.1 </t>
  </si>
  <si>
    <t xml:space="preserve"> 87885 </t>
  </si>
  <si>
    <t>CHAPISCO APLICADO NO TETO OU EM ALVENARIA E ESTRUTURA, COM ROLO PARA TEXTURA ACRÍLICA. ARGAMASSA INDUSTRIALIZADA COM PREPARO EM MISTURADOR 300 KG. AF_10/2022</t>
  </si>
  <si>
    <t xml:space="preserve"> 11.1.2 </t>
  </si>
  <si>
    <t xml:space="preserve"> 90408 </t>
  </si>
  <si>
    <t>MASSA ÚNICA, EM ARGAMASSA TRAÇO 1:2:8, PREPARO MECÂNICO, APLICADA MANUALMENTE EM TETO, E = 10MM, COM TALISCAS. AF_03/2024</t>
  </si>
  <si>
    <t xml:space="preserve"> 11.2 </t>
  </si>
  <si>
    <t>FORRO</t>
  </si>
  <si>
    <t xml:space="preserve"> 11.2.1 </t>
  </si>
  <si>
    <t xml:space="preserve"> 96114 </t>
  </si>
  <si>
    <t>FORRO EM DRYWALL, PARA AMBIENTES COMERCIAIS, INCLUSIVE ESTRUTURA BIRECIONAL DE FIXAÇÃO. AF_08/2023_PS</t>
  </si>
  <si>
    <t>PINTURA</t>
  </si>
  <si>
    <t xml:space="preserve"> 12.1 </t>
  </si>
  <si>
    <t>PAREDES</t>
  </si>
  <si>
    <t xml:space="preserve"> 12.1.1 </t>
  </si>
  <si>
    <t xml:space="preserve"> 88485 </t>
  </si>
  <si>
    <t>FUNDO SELADOR ACRÍLICO, APLICAÇÃO MANUAL EM PAREDE, UMA DEMÃO. AF_04/2023</t>
  </si>
  <si>
    <t xml:space="preserve"> 12.1.2 </t>
  </si>
  <si>
    <t xml:space="preserve"> 88495 </t>
  </si>
  <si>
    <t>EMASSAMENTO COM MASSA LÁTEX, APLICAÇÃO EM PAREDE, UMA DEMÃO, LIXAMENTO MANUAL. AF_04/2023</t>
  </si>
  <si>
    <t xml:space="preserve"> 12.1.3 </t>
  </si>
  <si>
    <t xml:space="preserve"> 104641 </t>
  </si>
  <si>
    <t>PINTURA LÁTEX ACRÍLICA ECONÔMICA, APLICAÇÃO MANUAL EM PAREDES, DUAS DEMÃOS. AF_04/2023</t>
  </si>
  <si>
    <t xml:space="preserve"> 12.1.4 </t>
  </si>
  <si>
    <t xml:space="preserve"> 95305 </t>
  </si>
  <si>
    <t>TEXTURA ACRÍLICA, APLICAÇÃO MANUAL EM PAREDE, UMA DEMÃO. AF_04/2023</t>
  </si>
  <si>
    <t xml:space="preserve"> 12.2 </t>
  </si>
  <si>
    <t>TETO</t>
  </si>
  <si>
    <t xml:space="preserve"> 12.2.1 </t>
  </si>
  <si>
    <t xml:space="preserve"> 88494 </t>
  </si>
  <si>
    <t>EMASSAMENTO COM MASSA LÁTEX, APLICAÇÃO EM TETO, UMA DEMÃO, LIXAMENTO MANUAL. AF_04/2023</t>
  </si>
  <si>
    <t xml:space="preserve"> 12.2.2 </t>
  </si>
  <si>
    <t xml:space="preserve"> 104639 </t>
  </si>
  <si>
    <t>PINTURA LÁTEX ACRÍLICA ECONÔMICA, APLICAÇÃO MANUAL EM TETO, DUAS DEMÃOS. AF_04/2023</t>
  </si>
  <si>
    <t xml:space="preserve"> 12.3 </t>
  </si>
  <si>
    <t xml:space="preserve"> 12.3.1 </t>
  </si>
  <si>
    <t xml:space="preserve"> 102197 </t>
  </si>
  <si>
    <t>PINTURA FUNDO NIVELADOR ALQUÍDICO BRANCO EM MADEIRA. AF_01/2021</t>
  </si>
  <si>
    <t xml:space="preserve"> 12.3.2 </t>
  </si>
  <si>
    <t xml:space="preserve"> 102219 </t>
  </si>
  <si>
    <t>PINTURA TINTA DE ACABAMENTO (PIGMENTADA) ESMALTE SINTÉTICO ACETINADO EM MADEIRA, 2 DEMÃOS. AF_01/2021</t>
  </si>
  <si>
    <t>MARMORARIA</t>
  </si>
  <si>
    <t xml:space="preserve"> 13.1 </t>
  </si>
  <si>
    <t>44.02.062</t>
  </si>
  <si>
    <t>TAMPO/BANCADA EM GRANITO, COM FRONTÃO, ESPESSURA DE 2 CM, ACABAMENTO POLIDO</t>
  </si>
  <si>
    <t>LOUÇAS, METAIS E ACESSÓRIOS</t>
  </si>
  <si>
    <t xml:space="preserve"> 14.1 </t>
  </si>
  <si>
    <t>EQUIPAMENTOS</t>
  </si>
  <si>
    <t xml:space="preserve"> 14.1.1 </t>
  </si>
  <si>
    <t xml:space="preserve"> 100860 </t>
  </si>
  <si>
    <t>CHUVEIRO ELÉTRICO COMUM CORPO PLÁSTICO, TIPO DUCHA - FORNECIMENTO E INSTALAÇÃO. AF_01/2020</t>
  </si>
  <si>
    <t xml:space="preserve"> 14.2 </t>
  </si>
  <si>
    <t>LOUÇAS</t>
  </si>
  <si>
    <t xml:space="preserve"> 14.2.1 </t>
  </si>
  <si>
    <t xml:space="preserve"> 86932 </t>
  </si>
  <si>
    <t>VASO SANITÁRIO SIFONADO COM CAIXA ACOPLADA LOUÇA BRANCA - PADRÃO MÉDIO, INCLUSO ENGATE FLEXÍVEL EM METAL CROMADO, 1/2  X 40CM - FORNECIMENTO E INSTALAÇÃO. AF_01/2020</t>
  </si>
  <si>
    <t xml:space="preserve"> 14.2.2 </t>
  </si>
  <si>
    <t xml:space="preserve"> 44.01.040 </t>
  </si>
  <si>
    <t>BACIA SIFONADA COM CAIXA DE DESCARGA ACOPLADA E TAMPA - INFANTIL</t>
  </si>
  <si>
    <t xml:space="preserve"> 14.2.3 </t>
  </si>
  <si>
    <t xml:space="preserve"> 86939 </t>
  </si>
  <si>
    <t>LAVATÓRIO LOUÇA BRANCA COM COLUNA, *44 X 35,5* CM, PADRÃO POPULAR, INCLUSO SIFÃO FLEXÍVEL EM PVC, VÁLVULA E ENGATE FLEXÍVEL 30CM EM PLÁSTICO E COM TORNEIRA CROMADA PADRÃO POPULAR - FORNECIMENTO E INSTALAÇÃO. AF_01/2020</t>
  </si>
  <si>
    <t xml:space="preserve"> 14.2.4 </t>
  </si>
  <si>
    <t xml:space="preserve"> 86919 </t>
  </si>
  <si>
    <t>TANQUE DE LOUÇA BRANCA COM COLUNA, 30L OU EQUIVALENTE, INCLUSO SIFÃO FLEXÍVEL EM PVC, VÁLVULA METÁLICA E TORNEIRA DE METAL CROMADO PADRÃO MÉDIO - FORNECIMENTO E INSTALAÇÃO. AF_01/2020</t>
  </si>
  <si>
    <t xml:space="preserve"> 14.2.5 </t>
  </si>
  <si>
    <t>44.01.610</t>
  </si>
  <si>
    <t>LAVATÓRIO DE LOUÇA PARA CANTO, SEM COLUNA - SEM PERTENCES</t>
  </si>
  <si>
    <t xml:space="preserve"> 14.2.6 </t>
  </si>
  <si>
    <t xml:space="preserve"> 86901 </t>
  </si>
  <si>
    <t>CUBA DE EMBUTIR OVAL EM LOUÇA BRANCA, 35 X 50CM OU EQUIVALENTE - FORNECIMENTO E INSTALAÇÃO. AF_01/2020</t>
  </si>
  <si>
    <t xml:space="preserve"> 14.2.7 </t>
  </si>
  <si>
    <t xml:space="preserve"> 44.01.850 </t>
  </si>
  <si>
    <t>CUBA DE LOUÇA DE EMBUTIR REDONDA</t>
  </si>
  <si>
    <t xml:space="preserve"> 14.3 </t>
  </si>
  <si>
    <t>METAIS E ACESSÓRIOS</t>
  </si>
  <si>
    <t xml:space="preserve"> 14.3.1 </t>
  </si>
  <si>
    <t xml:space="preserve"> 44.02.200 </t>
  </si>
  <si>
    <t>TAMPO/BANCADA EM CONCRETO ARMADO, REVESTIDO EM AÇO INOXIDÁVEL FOSCO POLIDO</t>
  </si>
  <si>
    <t xml:space="preserve"> 14.3.2 </t>
  </si>
  <si>
    <t xml:space="preserve"> 13262 </t>
  </si>
  <si>
    <t>ORSE</t>
  </si>
  <si>
    <t>Funil Expurgo Hospitalar de aço inox 304  290x300mm e= 0,8mm Sem mesa para embutir - Mirnox ou similar</t>
  </si>
  <si>
    <t xml:space="preserve"> 14.3.3 </t>
  </si>
  <si>
    <t xml:space="preserve"> 86900 </t>
  </si>
  <si>
    <t>CUBA DE EMBUTIR RETANGULAR DE AÇO INOXIDÁVEL, 46 X 30 X 12 CM - FORNECIMENTO E INSTALAÇÃO. AF_01/2020</t>
  </si>
  <si>
    <t xml:space="preserve"> 14.3.4 </t>
  </si>
  <si>
    <t xml:space="preserve"> 86913 </t>
  </si>
  <si>
    <t>TORNEIRA CROMADA 1/2" OU 3/4" PARA TANQUE, PADRÃO POPULAR - FORNECIMENTO E INSTALAÇÃO. AF_01/2020</t>
  </si>
  <si>
    <t xml:space="preserve"> 14.3.5 </t>
  </si>
  <si>
    <t xml:space="preserve"> 44.03.300 </t>
  </si>
  <si>
    <t>TORNEIRA CLÍNICA COM VOLANTE TIPO ALAVANCA</t>
  </si>
  <si>
    <t xml:space="preserve"> 14.3.6 </t>
  </si>
  <si>
    <t xml:space="preserve"> 44.03.316 </t>
  </si>
  <si>
    <t>TORNEIRA MISTURADOR CLÍNICA DE MESA COM AREJADOR ARTICULADO, ACIONAMENTO COTOVELO</t>
  </si>
  <si>
    <t xml:space="preserve"> 14.3.7 </t>
  </si>
  <si>
    <t>44.03.645</t>
  </si>
  <si>
    <t>TORNEIRA DE MESA AUTOMÁTICA, ACIONAMENTO HIDROMECÂNICO, EM LATÃO CROMADO, DN = 1/2' OU 3/4'</t>
  </si>
  <si>
    <t xml:space="preserve"> 14.3.8 </t>
  </si>
  <si>
    <t>44.03.720</t>
  </si>
  <si>
    <t>TORNEIRA DE MESA PARA LAVATÓRIO, ACIONAMENTO HIDROMECÂNICO COM ALAVANCA, REGISTRO INTEGRADO REGULADOR DE VAZÃO, EM LATÃO CROMADO, DN = 1/2'</t>
  </si>
  <si>
    <t xml:space="preserve"> 14.3.9 </t>
  </si>
  <si>
    <t>44.03.940</t>
  </si>
  <si>
    <t>DUCHA HIGIÊNICA COM REGISTRO</t>
  </si>
  <si>
    <t xml:space="preserve"> 14.3.10 </t>
  </si>
  <si>
    <t>30.01.030</t>
  </si>
  <si>
    <t>BARRA DE APOIO RETA, PARA PESSOAS COM MOBILIDADE REDUZIDA, EM TUBO DE AÇO INOXIDÁVEL DE 1 1/2' X 800 MM</t>
  </si>
  <si>
    <t xml:space="preserve"> 14.3.11 </t>
  </si>
  <si>
    <t>BARRA DE APOIO RETA, PARA PESSOAS COM MOBILIDADE REDUZIDA, EM TUBO DE AÇO INOXIDÁVEL DE 1 1/4' X 400 MM</t>
  </si>
  <si>
    <t xml:space="preserve"> 14.3.12 </t>
  </si>
  <si>
    <t xml:space="preserve"> 100867 </t>
  </si>
  <si>
    <t>BARRA DE APOIO RETA, EM ACO INOX POLIDO, COMPRIMENTO 70 CM,  FIXADA NA PAREDE - FORNECIMENTO E INSTALAÇÃO. AF_01/2020</t>
  </si>
  <si>
    <t xml:space="preserve"> 14.3.13 </t>
  </si>
  <si>
    <t>49.04.010</t>
  </si>
  <si>
    <t>RALO SECO EM PVC RÍGIDO DE 100 X 40 MM, COM GRELHA</t>
  </si>
  <si>
    <t xml:space="preserve"> 14.3.14 </t>
  </si>
  <si>
    <t xml:space="preserve"> 18.050.0120-0 </t>
  </si>
  <si>
    <t>EMOP</t>
  </si>
  <si>
    <t>ESTACAO DE CHAMADA DE LEITO,COM INTERRUPTOR DE EMBUTIR COM C OMANDOS DE CHAMADAS,EMERGENCIA E PRESENCA,FIXADA SOBRE CAIXA 4"X4" EMBUTIDA NA PAREDE.FORNECIMENTO E COLOCACAO</t>
  </si>
  <si>
    <t>INSTALAÇÕES HIDROSSANITÁRIAS</t>
  </si>
  <si>
    <t xml:space="preserve"> 15.1 </t>
  </si>
  <si>
    <t>HIDRÁULICA</t>
  </si>
  <si>
    <t xml:space="preserve"> 15.1.1 </t>
  </si>
  <si>
    <t>ACOPLAMENTO RÍGIDO EM AÇO, CONEXÃO RANHURADA, DN 60, INSTALADO EM PRUMADAS - FORNECIMENTO E INSTALAÇÃO. AF_10/2020</t>
  </si>
  <si>
    <t xml:space="preserve"> 15.1.2 </t>
  </si>
  <si>
    <t xml:space="preserve"> 103039 </t>
  </si>
  <si>
    <t>REGISTRO DE ESFERA, PVC, ROSCÁVEL, COM VOLANTE, 1 1/2" - FORNECIMENTO E INSTALAÇÃO. AF_08/2021</t>
  </si>
  <si>
    <t xml:space="preserve"> 15.1.3 </t>
  </si>
  <si>
    <t xml:space="preserve"> 94492 </t>
  </si>
  <si>
    <t>REGISTRO DE ESFERA, PVC, SOLDÁVEL, COM VOLANTE, DN  50 MM - FORNECIMENTO E INSTALAÇÃO. AF_08/2021</t>
  </si>
  <si>
    <t xml:space="preserve"> 15.1.4 </t>
  </si>
  <si>
    <t xml:space="preserve"> 94681 </t>
  </si>
  <si>
    <t>CURVA 90 GRAUS, PVC, SOLDÁVEL, DN 60 MM, INSTALADO EM RESERVAÇÃO DE ÁGUA DE EDIFICAÇÃO QUE POSSUA RESERVATÓRIO DE FIBRA/FIBROCIMENTO   FORNECIMENTO E INSTALAÇÃO. AF_06/2016</t>
  </si>
  <si>
    <t xml:space="preserve"> 15.1.5 </t>
  </si>
  <si>
    <t xml:space="preserve"> 94662 </t>
  </si>
  <si>
    <t>ADAPTADOR CURTO COM BOLSA E ROSCA PARA REGISTRO, PVC, SOLDÁVEL, DN 50 MM X 1 1/2 , INSTALADO EM RESERVAÇÃO DE ÁGUA DE EDIFICAÇÃO QUE POSSUA RESERVATÓRIO DE FIBRA/FIBROCIMENTO   FORNECIMENTO E INSTALAÇÃO. AF_06/2016</t>
  </si>
  <si>
    <t xml:space="preserve"> 15.1.6 </t>
  </si>
  <si>
    <t xml:space="preserve"> 103986 </t>
  </si>
  <si>
    <t>CURVA 90 GRAUS, PVC, SOLDÁVEL, DN 50MM, INSTALADO EM RAMAL DE DISTRIBUIÇÃO DE ÁGUA - FORNECIMENTO E INSTALAÇÃO. AF_06/2022</t>
  </si>
  <si>
    <t xml:space="preserve"> 15.1.7 </t>
  </si>
  <si>
    <t xml:space="preserve"> 103979 </t>
  </si>
  <si>
    <t>TUBO, PVC, SOLDÁVEL, DN 50MM, INSTALADO EM RAMAL DE DISTRIBUIÇÃO DE ÁGUA - FORNECIMENTO E INSTALAÇÃO. AF_06/2022</t>
  </si>
  <si>
    <t xml:space="preserve"> 15.1.8 </t>
  </si>
  <si>
    <t xml:space="preserve"> 45.03.110 </t>
  </si>
  <si>
    <t>HIDRÔMETRO EM BRONZE, DIÂMETRO DE 40 MM (1 1/2´)</t>
  </si>
  <si>
    <t>cj</t>
  </si>
  <si>
    <t xml:space="preserve"> 15.1.9 </t>
  </si>
  <si>
    <t xml:space="preserve"> 89353 </t>
  </si>
  <si>
    <t>REGISTRO DE GAVETA BRUTO, LATÃO, ROSCÁVEL, 3/4" - FORNECIMENTO E INSTALAÇÃO. AF_08/2021</t>
  </si>
  <si>
    <t xml:space="preserve"> 15.1.10 </t>
  </si>
  <si>
    <t xml:space="preserve"> 94794 </t>
  </si>
  <si>
    <t>REGISTRO DE GAVETA BRUTO, LATÃO, ROSCÁVEL, 1 1/2", COM ACABAMENTO E CANOPLA CROMADOS - FORNECIMENTO E INSTALAÇÃO. AF_08/2021</t>
  </si>
  <si>
    <t xml:space="preserve"> 15.1.11 </t>
  </si>
  <si>
    <t xml:space="preserve"> 89987 </t>
  </si>
  <si>
    <t>REGISTRO DE GAVETA BRUTO, LATÃO, ROSCÁVEL, 3/4", COM ACABAMENTO E CANOPLA CROMADOS - FORNECIMENTO E INSTALAÇÃO. AF_08/2021</t>
  </si>
  <si>
    <t xml:space="preserve"> 15.1.12 </t>
  </si>
  <si>
    <t xml:space="preserve"> 89985 </t>
  </si>
  <si>
    <t>REGISTRO DE PRESSÃO BRUTO, LATÃO, ROSCÁVEL, 3/4", COM ACABAMENTO E CANOPLA CROMADOS - FORNECIMENTO E INSTALAÇÃO. AF_08/2021</t>
  </si>
  <si>
    <t xml:space="preserve"> 15.1.13 </t>
  </si>
  <si>
    <t xml:space="preserve"> 92365 </t>
  </si>
  <si>
    <t>TUBO DE AÇO GALVANIZADO COM COSTURA, CLASSE MÉDIA, DN 40 (1 1/2"), CONEXÃO ROSQUEADA, INSTALADO EM REDE DE ALIMENTAÇÃO PARA HIDRANTE - FORNECIMENTO E INSTALAÇÃO. AF_10/2020</t>
  </si>
  <si>
    <t xml:space="preserve"> 15.1.14 </t>
  </si>
  <si>
    <t xml:space="preserve"> 92336 </t>
  </si>
  <si>
    <t>TUBO DE AÇO GALVANIZADO COM COSTURA, CLASSE MÉDIA, CONEXÃO RANHURADA, DN 65 (2 1/2"), INSTALADO EM PRUMADAS - FORNECIMENTO E INSTALAÇÃO. AF_10/2020</t>
  </si>
  <si>
    <t xml:space="preserve"> 15.1.15 </t>
  </si>
  <si>
    <t xml:space="preserve"> 89373 </t>
  </si>
  <si>
    <t>LUVA DE REDUÇÃO, PVC, SOLDÁVEL, DN 25MM X 20MM, INSTALADO EM RAMAL OU SUB-RAMAL DE ÁGUA - FORNECIMENTO E INSTALAÇÃO. AF_06/2022</t>
  </si>
  <si>
    <t xml:space="preserve"> 15.1.16 </t>
  </si>
  <si>
    <t xml:space="preserve"> 89593 </t>
  </si>
  <si>
    <t>LUVA COM ROSCA, PVC, SOLDÁVEL, DN 50MM X 1.1/2 , INSTALADO EM PRUMADA DE ÁGUA - FORNECIMENTO E INSTALAÇÃO. AF_06/2022</t>
  </si>
  <si>
    <t xml:space="preserve"> 15.1.17 </t>
  </si>
  <si>
    <t xml:space="preserve"> 94656 </t>
  </si>
  <si>
    <t>ADAPTADOR CURTO COM BOLSA E ROSCA PARA REGISTRO, PVC, SOLDÁVEL, DN  25 MM X 3/4 , INSTALADO EM RESERVAÇÃO DE ÁGUA DE EDIFICAÇÃO QUE POSSUA RESERVATÓRIO DE FIBRA/FIBROCIMENTO   FORNECIMENTO E INSTALAÇÃO. AF_06/2016</t>
  </si>
  <si>
    <t xml:space="preserve"> 15.1.18 </t>
  </si>
  <si>
    <t xml:space="preserve"> 104002 </t>
  </si>
  <si>
    <t>ADAPTADOR CURTO COM BOLSA E ROSCA PARA REGISTRO, PVC, SOLDÁVEL, DN 50MM X 1.1/4", INSTALADO EM RAMAL DE DISTRIBUIÇÃO DE ÁGUA - FORNECIMENTO E INSTALAÇÃO. AF_06/2022</t>
  </si>
  <si>
    <t xml:space="preserve"> 15.1.19 </t>
  </si>
  <si>
    <t xml:space="preserve"> 103948 </t>
  </si>
  <si>
    <t>BUCHA DE REDUÇÃO, CURTA, PVC, SOLDÁVEL, DN 32 X 25 MM, INSTALADO EM RAMAL OU SUB-RAMAL DE ÁGUA - FORNECIMENTO E INSTALAÇÃO. AF_06/2022</t>
  </si>
  <si>
    <t xml:space="preserve"> 15.1.20 </t>
  </si>
  <si>
    <t xml:space="preserve"> 103966 </t>
  </si>
  <si>
    <t>BUCHA DE REDUÇÃO, LONGA, PVC, SOLDÁVEL, DN 50 X 25 MM, INSTALADO EM PRUMADA DE ÁGUA - FORNECIMENTO E INSTALAÇÃO. AF_06/2022</t>
  </si>
  <si>
    <t xml:space="preserve"> 15.1.21 </t>
  </si>
  <si>
    <t xml:space="preserve"> 104003 </t>
  </si>
  <si>
    <t>BUCHA DE REDUÇÃO , LONGA, PVC, SOLDÁVEL, DN 50 X 32 MM, INSTALADO EM RAMAL DE DISTRIBUIÇÃO DE ÁGUA - FORNECIMENTO E INSTALAÇÃO. AF_06/2022</t>
  </si>
  <si>
    <t xml:space="preserve"> 15.1.22 </t>
  </si>
  <si>
    <t xml:space="preserve"> 89490 </t>
  </si>
  <si>
    <t>CURVA 45 GRAUS, PVC, SOLDÁVEL, DN 25MM, INSTALADO EM PRUMADA DE ÁGUA - FORNECIMENTO E INSTALAÇÃO. AF_06/2022</t>
  </si>
  <si>
    <t xml:space="preserve"> 15.1.23 </t>
  </si>
  <si>
    <t xml:space="preserve"> 89489 </t>
  </si>
  <si>
    <t>CURVA 90 GRAUS, PVC, SOLDÁVEL, DN 25MM, INSTALADO EM PRUMADA DE ÁGUA - FORNECIMENTO E INSTALAÇÃO. AF_06/2022</t>
  </si>
  <si>
    <t xml:space="preserve"> 15.1.24 </t>
  </si>
  <si>
    <t xml:space="preserve"> 89384 </t>
  </si>
  <si>
    <t>CURVA DE TRANSPOSIÇÃO, PVC, SOLDÁVEL, DN 25MM, INSTALADO EM RAMAL OU SUB-RAMAL DE ÁGUA   FORNECIMENTO E INSTALAÇÃO. AF_06/2022</t>
  </si>
  <si>
    <t xml:space="preserve"> 15.1.25 </t>
  </si>
  <si>
    <t xml:space="preserve"> 89530 </t>
  </si>
  <si>
    <t>LUVA DE CORRER, PVC, SOLDÁVEL, DN 25MM, INSTALADO EM PRUMADA DE ÁGUA - FORNECIMENTO E INSTALAÇÃO. AF_06/2022</t>
  </si>
  <si>
    <t xml:space="preserve"> 15.1.26 </t>
  </si>
  <si>
    <t xml:space="preserve"> 89577 </t>
  </si>
  <si>
    <t>LUVA DE CORRER, PVC, SOLDÁVEL, DN 50MM, INSTALADO EM PRUMADA DE ÁGUA - FORNECIMENTO E INSTALAÇÃO. AF_06/2022</t>
  </si>
  <si>
    <t xml:space="preserve"> 15.1.27 </t>
  </si>
  <si>
    <t xml:space="preserve"> 89356 </t>
  </si>
  <si>
    <t>TUBO, PVC, SOLDÁVEL, DN 25MM, INSTALADO EM RAMAL OU SUB-RAMAL DE ÁGUA - FORNECIMENTO E INSTALAÇÃO. AF_06/2022</t>
  </si>
  <si>
    <t xml:space="preserve"> 15.1.28 </t>
  </si>
  <si>
    <t xml:space="preserve"> 89357 </t>
  </si>
  <si>
    <t>TUBO, PVC, SOLDÁVEL, DN 32MM, INSTALADO EM RAMAL OU SUB-RAMAL DE ÁGUA - FORNECIMENTO E INSTALAÇÃO. AF_06/2022</t>
  </si>
  <si>
    <t xml:space="preserve"> 15.1.29 </t>
  </si>
  <si>
    <t xml:space="preserve"> 89448 </t>
  </si>
  <si>
    <t>TUBO, PVC, SOLDÁVEL, DN 40MM, INSTALADO EM PRUMADA DE ÁGUA - FORNECIMENTO E INSTALAÇÃO. AF_06/2022</t>
  </si>
  <si>
    <t xml:space="preserve"> 15.1.30 </t>
  </si>
  <si>
    <t xml:space="preserve"> 89869 </t>
  </si>
  <si>
    <t>TE, PVC, SOLDÁVEL, DN 25MM, INSTALADO EM DRENO DE AR-CONDICIONADO - FORNECIMENTO E INSTALAÇÃO. AF_08/2022</t>
  </si>
  <si>
    <t xml:space="preserve"> 15.1.31 </t>
  </si>
  <si>
    <t xml:space="preserve"> 94690 </t>
  </si>
  <si>
    <t>TÊ, PVC, SOLDÁVEL, DN 32 MM INSTALADO EM RESERVAÇÃO DE ÁGUA DE EDIFICAÇÃO QUE POSSUA RESERVATÓRIO DE FIBRA/FIBROCIMENTO   FORNECIMENTO E INSTALAÇÃO. AF_06/2016</t>
  </si>
  <si>
    <t xml:space="preserve"> 15.1.32 </t>
  </si>
  <si>
    <t xml:space="preserve"> 104008 </t>
  </si>
  <si>
    <t>TE DE REDUÇÃO, 90 GRAUS, PVC, SOLDÁVEL, DN 50 MM X 32 MM, INSTALADO EM RAMAL DE DISTRIBUIÇÃO DE ÁGUA - FORNECIMENTO E INSTALAÇÃO. AF_06/2022</t>
  </si>
  <si>
    <t xml:space="preserve"> 15.1.33 </t>
  </si>
  <si>
    <t xml:space="preserve"> 89400 </t>
  </si>
  <si>
    <t>TÊ DE REDUÇÃO, PVC, SOLDÁVEL, DN 32MM X 25MM, INSTALADO EM RAMAL OU SUB-RAMAL DE ÁGUA - FORNECIMENTO E INSTALAÇÃO. AF_06/2022</t>
  </si>
  <si>
    <t xml:space="preserve"> 15.1.34 </t>
  </si>
  <si>
    <t xml:space="preserve"> 89627 </t>
  </si>
  <si>
    <t>TÊ DE REDUÇÃO, PVC, SOLDÁVEL, DN 50MM X 25MM, INSTALADO EM PRUMADA DE ÁGUA - FORNECIMENTO E INSTALAÇÃO. AF_06/2022</t>
  </si>
  <si>
    <t xml:space="preserve"> 15.1.35 </t>
  </si>
  <si>
    <t xml:space="preserve"> 89366 </t>
  </si>
  <si>
    <t>JOELHO 90 GRAUS COM BUCHA DE LATÃO, PVC, SOLDÁVEL, DN 25MM, X 3/4  INSTALADO EM RAMAL OU SUB-RAMAL DE ÁGUA - FORNECIMENTO E INSTALAÇÃO. AF_06/2022</t>
  </si>
  <si>
    <t xml:space="preserve"> 15.1.36 </t>
  </si>
  <si>
    <t xml:space="preserve"> 90373 </t>
  </si>
  <si>
    <t>JOELHO 90 GRAUS COM BUCHA DE LATÃO, PVC, SOLDÁVEL, DN 25MM, X 1/2  INSTALADO EM RAMAL OU SUB-RAMAL DE ÁGUA - FORNECIMENTO E INSTALAÇÃO. AF_06/2022</t>
  </si>
  <si>
    <t xml:space="preserve"> 15.1.37 </t>
  </si>
  <si>
    <t>42.02.005</t>
  </si>
  <si>
    <t>CDHU</t>
  </si>
  <si>
    <t>PRESSURIZADOR DE ÁGUA MAX PRESS 270 VF MONOFASICO 220V</t>
  </si>
  <si>
    <t xml:space="preserve"> 15.1.38 </t>
  </si>
  <si>
    <t xml:space="preserve"> 48.02.008 </t>
  </si>
  <si>
    <t>RESERVATÓRIO DE FIBRA DE VIDRO - CAPACIDADE DE 15.000 LITROS</t>
  </si>
  <si>
    <t xml:space="preserve"> 15.1.39 </t>
  </si>
  <si>
    <t xml:space="preserve"> 89415 </t>
  </si>
  <si>
    <t>CURVA 90 GRAUS, PVC, SOLDÁVEL, DN 32MM, INSTALADO EM RAMAL DE DISTRIBUIÇÃO DE ÁGUA - FORNECIMENTO E INSTALAÇÃO. AF_06/2022</t>
  </si>
  <si>
    <t xml:space="preserve"> 15.1.40 </t>
  </si>
  <si>
    <t xml:space="preserve"> 12882 </t>
  </si>
  <si>
    <t>Pressurizador até 12mca/160w/220v</t>
  </si>
  <si>
    <t>Un</t>
  </si>
  <si>
    <t xml:space="preserve"> 15.1.41 </t>
  </si>
  <si>
    <t xml:space="preserve"> 48.02.300 </t>
  </si>
  <si>
    <t>RESERVATÓRIO EM POLIETILENO DE ALTA DENSIDADE (CISTERNA) COM ANTIOXIDANTE E PROTEÇÃO CONTRA RAIOS ULTRAVIOLETA (UV) - CAPACIDADE DE 5.000 LITROS</t>
  </si>
  <si>
    <t xml:space="preserve"> 15.2 </t>
  </si>
  <si>
    <t>SANITÁRIA</t>
  </si>
  <si>
    <t xml:space="preserve"> 15.2.1 </t>
  </si>
  <si>
    <t xml:space="preserve"> 89707 </t>
  </si>
  <si>
    <t>CAIXA SIFONADA, PVC, DN 100 X 100 X 50 MM, JUNTA ELÁSTICA, FORNECIDA E INSTALADA EM RAMAL DE DESCARGA OU EM RAMAL DE ESGOTO SANITÁRIO. AF_08/2022</t>
  </si>
  <si>
    <t xml:space="preserve"> 15.2.2 </t>
  </si>
  <si>
    <t>49.03.020</t>
  </si>
  <si>
    <t>CAIXA DE GORDURA EM ALVENARIA, 600 X 600 X 600 MM</t>
  </si>
  <si>
    <t>UM</t>
  </si>
  <si>
    <t xml:space="preserve"> 15.2.3 </t>
  </si>
  <si>
    <t xml:space="preserve"> 104328 </t>
  </si>
  <si>
    <t>CAIXA SIFONADA, COM GRELHA QUADRADA, PVC, DN 150 X 150 X 50 MM, JUNTA SOLDÁVEL, FORNECIDA E INSTALADA EM RAMAL DE DESCARGA OU EM RAMAL DE ESGOTO SANITÁRIO. AF_08/2022</t>
  </si>
  <si>
    <t xml:space="preserve"> 15.2.4 </t>
  </si>
  <si>
    <t xml:space="preserve"> 89708 </t>
  </si>
  <si>
    <t>CAIXA SIFONADA, PVC, DN 150 X 185 X 75 MM, JUNTA ELÁSTICA, FORNECIDA E INSTALADA EM RAMAL DE DESCARGA OU EM RAMAL DE ESGOTO SANITÁRIO. AF_08/2022</t>
  </si>
  <si>
    <t xml:space="preserve"> 15.2.5 </t>
  </si>
  <si>
    <t xml:space="preserve"> 89709 </t>
  </si>
  <si>
    <t>RALO SIFONADO, PVC, DN 100 X 40 MM, JUNTA SOLDÁVEL, FORNECIDO E INSTALADO EM RAMAL DE DESCARGA OU EM RAMAL DE ESGOTO SANITÁRIO. AF_08/2022</t>
  </si>
  <si>
    <t xml:space="preserve"> 15.2.6 </t>
  </si>
  <si>
    <t xml:space="preserve"> 86883 </t>
  </si>
  <si>
    <t>SIFÃO DO TIPO FLEXÍVEL EM PVC 1  X 1.1/2  - FORNECIMENTO E INSTALAÇÃO. AF_01/2020</t>
  </si>
  <si>
    <t xml:space="preserve"> 15.2.7 </t>
  </si>
  <si>
    <t xml:space="preserve"> 86879 </t>
  </si>
  <si>
    <t>VÁLVULA EM PLÁSTICO 1" PARA PIA, TANQUE OU LAVATÓRIO, COM OU SEM LADRÃO - FORNECIMENTO E INSTALAÇÃO. AF_01/2020</t>
  </si>
  <si>
    <t xml:space="preserve"> 15.2.8 </t>
  </si>
  <si>
    <t xml:space="preserve"> 104063 </t>
  </si>
  <si>
    <t>CURVA LONGA, 45 GRAUS, PVC OCRE, JUNTA ELÁSTICA, DN 100 MM, PARA COLETOR PREDIAL DE ESGOTO. AF_06/2022</t>
  </si>
  <si>
    <t xml:space="preserve"> 15.2.9 </t>
  </si>
  <si>
    <t xml:space="preserve"> 89811 </t>
  </si>
  <si>
    <t>CURVA CURTA 90 GRAUS, PVC, SERIE NORMAL, ESGOTO PREDIAL, DN 100 MM, JUNTA ELÁSTICA, FORNECIDO E INSTALADO EM PRUMADA DE ESGOTO SANITÁRIO OU VENTILAÇÃO. AF_08/2022</t>
  </si>
  <si>
    <t xml:space="preserve"> 15.2.10 </t>
  </si>
  <si>
    <t xml:space="preserve"> 89728 </t>
  </si>
  <si>
    <t>CURVA CURTA 90 GRAUS, PVC, SERIE NORMAL, ESGOTO PREDIAL, DN 40 MM, JUNTA SOLDÁVEL, FORNECIDO E INSTALADO EM RAMAL DE DESCARGA OU RAMAL DE ESGOTO SANITÁRIO. AF_08/2022</t>
  </si>
  <si>
    <t xml:space="preserve"> 15.2.11 </t>
  </si>
  <si>
    <t xml:space="preserve"> 89726 </t>
  </si>
  <si>
    <t>JOELHO 45 GRAUS, PVC, SERIE NORMAL, ESGOTO PREDIAL, DN 40 MM, JUNTA SOLDÁVEL, FORNECIDO E INSTALADO EM RAMAL DE DESCARGA OU RAMAL DE ESGOTO SANITÁRIO. AF_08/2022</t>
  </si>
  <si>
    <t xml:space="preserve"> 15.2.12 </t>
  </si>
  <si>
    <t xml:space="preserve"> 89732 </t>
  </si>
  <si>
    <t>JOELHO 45 GRAUS, PVC, SERIE NORMAL, ESGOTO PREDIAL, DN 50 MM, JUNTA ELÁSTICA, FORNECIDO E INSTALADO EM RAMAL DE DESCARGA OU RAMAL DE ESGOTO SANITÁRIO. AF_08/2022</t>
  </si>
  <si>
    <t xml:space="preserve"> 15.2.13 </t>
  </si>
  <si>
    <t xml:space="preserve"> 89739 </t>
  </si>
  <si>
    <t>JOELHO 45 GRAUS, PVC, SERIE NORMAL, ESGOTO PREDIAL, DN 75 MM, JUNTA ELÁSTICA, FORNECIDO E INSTALADO EM RAMAL DE DESCARGA OU RAMAL DE ESGOTO SANITÁRIO. AF_08/2022</t>
  </si>
  <si>
    <t xml:space="preserve"> 15.2.14 </t>
  </si>
  <si>
    <t xml:space="preserve"> 89731 </t>
  </si>
  <si>
    <t>JOELHO 90 GRAUS, PVC, SERIE NORMAL, ESGOTO PREDIAL, DN 50 MM, JUNTA ELÁSTICA, FORNECIDO E INSTALADO EM RAMAL DE DESCARGA OU RAMAL DE ESGOTO SANITÁRIO. AF_08/2022</t>
  </si>
  <si>
    <t xml:space="preserve"> 15.2.15 </t>
  </si>
  <si>
    <t xml:space="preserve"> 89724 </t>
  </si>
  <si>
    <t>JOELHO 90 GRAUS, PVC, SERIE NORMAL, ESGOTO PREDIAL, DN 40 MM, JUNTA SOLDÁVEL, FORNECIDO E INSTALADO EM RAMAL DE DESCARGA OU RAMAL DE ESGOTO SANITÁRIO. AF_08/2022</t>
  </si>
  <si>
    <t xml:space="preserve"> 15.2.16 </t>
  </si>
  <si>
    <t xml:space="preserve"> 104345 </t>
  </si>
  <si>
    <t>JUNÇÃO DE REDUÇÃO INVERTIDA, PVC, SÉRIE NORMAL, ESGOTO PREDIAL, DN 100 X 50 MM, JUNTA ELÁSTICA, FORNECIDO E INSTALADO EM RAMAL DE DESCARGA OU RAMAL DE ESGOTO SANITÁRIO. AF_08/2022</t>
  </si>
  <si>
    <t xml:space="preserve"> 15.2.17 </t>
  </si>
  <si>
    <t xml:space="preserve"> 89783 </t>
  </si>
  <si>
    <t>JUNÇÃO SIMPLES, PVC, SERIE NORMAL, ESGOTO PREDIAL, DN 40 MM, JUNTA SOLDÁVEL, FORNECIDO E INSTALADO EM RAMAL DE DESCARGA OU RAMAL DE ESGOTO SANITÁRIO. AF_08/2022</t>
  </si>
  <si>
    <t xml:space="preserve"> 15.2.18 </t>
  </si>
  <si>
    <t xml:space="preserve"> 104350 </t>
  </si>
  <si>
    <t>JUNÇÃO DE REDUÇÃO INVERTIDA, PVC, SÉRIE NORMAL, ESGOTO PREDIAL, DN 75 X 50 MM, JUNTA ELÁSTICA, FORNECIDO E INSTALADO EM PRUMADA DE ESGOTO SANITÁRIO OU VENTILAÇÃO. AF_08/2022</t>
  </si>
  <si>
    <t xml:space="preserve"> 15.2.19 </t>
  </si>
  <si>
    <t xml:space="preserve"> 89795 </t>
  </si>
  <si>
    <t>JUNÇÃO SIMPLES, PVC, SERIE NORMAL, ESGOTO PREDIAL, DN 75 X 75 MM, JUNTA ELÁSTICA, FORNECIDO E INSTALADO EM RAMAL DE DESCARGA OU RAMAL DE ESGOTO SANITÁRIO. AF_08/2022</t>
  </si>
  <si>
    <t xml:space="preserve"> 15.2.20</t>
  </si>
  <si>
    <t xml:space="preserve"> 89549 </t>
  </si>
  <si>
    <t>REDUÇÃO EXCÊNTRICA, PVC, SERIE R, ÁGUA PLUVIAL, DN 75 X 50 MM, JUNTA ELÁSTICA, FORNECIDO E INSTALADO EM RAMAL DE ENCAMINHAMENTO. AF_06/2022</t>
  </si>
  <si>
    <t xml:space="preserve"> 15.2.21</t>
  </si>
  <si>
    <t xml:space="preserve"> 46.03.050 </t>
  </si>
  <si>
    <t>TUBO DE PVC RÍGIDO PXB COM VIROLA E ANEL DE BORRACHA, LINHA ESGOTO SÉRIE REFORÇADA ´R´, DN= 100 MM, INCLUSIVE CONEXÕES</t>
  </si>
  <si>
    <t xml:space="preserve"> 15.2.22</t>
  </si>
  <si>
    <t xml:space="preserve"> 46.03.038 </t>
  </si>
  <si>
    <t>TUBO DE PVC RÍGIDO PXB COM VIROLA E ANEL DE BORRACHA, LINHA ESGOTO SÉRIE REFORÇADA ´R´, DN= 50 MM, INCLUSIVE CONEXÕES</t>
  </si>
  <si>
    <t xml:space="preserve"> 15.2.23</t>
  </si>
  <si>
    <t xml:space="preserve"> 46.03.040 </t>
  </si>
  <si>
    <t>TUBO DE PVC RÍGIDO PXB COM VIROLA E ANEL DE BORRACHA, LINHA ESGOTO SÉRIE REFORÇADA ´R´, DN= 75 MM, INCLUSIVE CONEXÕES</t>
  </si>
  <si>
    <t xml:space="preserve"> 15.2.24</t>
  </si>
  <si>
    <t xml:space="preserve"> 46.01.040 </t>
  </si>
  <si>
    <t>TUBO DE PVC RÍGIDO SOLDÁVEL MARROM, DN= 40 MM, (1 1/4´), INCLUSIVE CONEXÕES</t>
  </si>
  <si>
    <t xml:space="preserve"> 15.2.25</t>
  </si>
  <si>
    <t xml:space="preserve"> 46.02.010 </t>
  </si>
  <si>
    <t>TUBO DE PVC RÍGIDO BRANCO, PONTAS LISAS, SOLDÁVEL, LINHA ESGOTO SÉRIE NORMAL, DN= 40 MM, INCLUSIVE CONEXÕES</t>
  </si>
  <si>
    <t xml:space="preserve"> 15.2.26</t>
  </si>
  <si>
    <t xml:space="preserve"> 46.03.080 </t>
  </si>
  <si>
    <t>TUBO DE PVC RÍGIDO, PONTAS LISAS, SOLDÁVEL, LINHA ESGOTO SÉRIE REFORÇADA ´R´, DN= 40 MM, INCLUSIVE CONEXÕES</t>
  </si>
  <si>
    <t xml:space="preserve"> 15.2.27</t>
  </si>
  <si>
    <t xml:space="preserve"> 89782 </t>
  </si>
  <si>
    <t>TE, PVC, SERIE NORMAL, ESGOTO PREDIAL, DN 40 X 40 MM, JUNTA SOLDÁVEL, FORNECIDO E INSTALADO EM RAMAL DE DESCARGA OU RAMAL DE ESGOTO SANITÁRIO. AF_08/2022</t>
  </si>
  <si>
    <t xml:space="preserve"> 15.2.28</t>
  </si>
  <si>
    <t xml:space="preserve"> 15.2.29</t>
  </si>
  <si>
    <t xml:space="preserve"> 104014 </t>
  </si>
  <si>
    <t>BUCHA DE REDUÇÃO, LONGA, PVC, SOLDÁVEL, DN 40 X 25 MM, INSTALADO EM RAMAL DE DISTRIBUIÇÃO DE ÁGUA - FORNECIMENTO E INSTALAÇÃO. AF_06/2022</t>
  </si>
  <si>
    <t xml:space="preserve"> 15.2.30</t>
  </si>
  <si>
    <t xml:space="preserve"> 15.2.31</t>
  </si>
  <si>
    <t xml:space="preserve"> 89408 </t>
  </si>
  <si>
    <t>JOELHO 90 GRAUS, PVC, SOLDÁVEL, DN 25MM, INSTALADO EM RAMAL DE DISTRIBUIÇÃO DE ÁGUA - FORNECIMENTO E INSTALAÇÃO. AF_06/2022</t>
  </si>
  <si>
    <t xml:space="preserve"> 15.2.32</t>
  </si>
  <si>
    <t xml:space="preserve"> 15.2.33</t>
  </si>
  <si>
    <t xml:space="preserve"> 86882 </t>
  </si>
  <si>
    <t>SIFÃO DO TIPO GARRAFA/COPO EM PVC 1.1/4  X 1.1/2" - FORNECIMENTO E INSTALAÇÃO. AF_01/2020</t>
  </si>
  <si>
    <t xml:space="preserve"> 15.2.34</t>
  </si>
  <si>
    <t xml:space="preserve"> 12646 </t>
  </si>
  <si>
    <t>Caixa de coletora de talvegue - CCT 02 (padrão DNIT)</t>
  </si>
  <si>
    <t xml:space="preserve"> 15.2.35</t>
  </si>
  <si>
    <t xml:space="preserve"> 94962 </t>
  </si>
  <si>
    <t>CONCRETO MAGRO PARA LASTRO, TRAÇO 1:4,5:4,5 (EM MASSA SECA DE CIMENTO/ AREIA MÉDIA/ BRITA 1) - PREPARO MECÂNICO COM BETONEIRA 400 L. AF_05/2021</t>
  </si>
  <si>
    <t xml:space="preserve"> 15.2.36</t>
  </si>
  <si>
    <t xml:space="preserve"> 104348 </t>
  </si>
  <si>
    <t>TERMINAL DE VENTILAÇÃO, PVC, SÉRIE NORMAL, ESGOTO PREDIAL, DN 50 MM, JUNTA SOLDÁVEL, FORNECIDO E INSTALADO EM PRUMADA DE ESGOTO SANITÁRIO OU VENTILAÇÃO. AF_08/2022</t>
  </si>
  <si>
    <t xml:space="preserve"> 15.2.37</t>
  </si>
  <si>
    <t xml:space="preserve"> 89825 </t>
  </si>
  <si>
    <t>TE, PVC, SERIE NORMAL, ESGOTO PREDIAL, DN 50 X 50 MM, JUNTA ELÁSTICA, FORNECIDO E INSTALADO EM PRUMADA DE ESGOTO SANITÁRIO OU VENTILAÇÃO. AF_08/2022</t>
  </si>
  <si>
    <t xml:space="preserve"> 15.2.38</t>
  </si>
  <si>
    <t xml:space="preserve"> 89829 </t>
  </si>
  <si>
    <t>TE, PVC, SERIE NORMAL, ESGOTO PREDIAL, DN 75 X 75 MM, JUNTA ELÁSTICA, FORNECIDO E INSTALADO EM PRUMADA DE ESGOTO SANITÁRIO OU VENTILAÇÃO. AF_08/2022</t>
  </si>
  <si>
    <t xml:space="preserve"> 15.3 </t>
  </si>
  <si>
    <t>PLUVIAL</t>
  </si>
  <si>
    <t xml:space="preserve"> 15.3.1 </t>
  </si>
  <si>
    <t xml:space="preserve"> 3234 </t>
  </si>
  <si>
    <t>Caixa de passagem em alvenaria de tijolos maciços esp. = 0,12m,  dim. int. = 0.50 x 0.50 x 0.60m, com grelha de ferro fundido</t>
  </si>
  <si>
    <t xml:space="preserve"> 15.3.2 </t>
  </si>
  <si>
    <t xml:space="preserve"> 6409 </t>
  </si>
  <si>
    <t>*Caixa de passagem em alvenaria de tijolos maciços esp=12cm, dim. int. 0,60x0,60x1,00m, sem tampa</t>
  </si>
  <si>
    <t xml:space="preserve"> 15.3.3 </t>
  </si>
  <si>
    <t>RALO HEMISFERICO 100mm EM FERRO FUNDIDO (RALO ABACAXI)</t>
  </si>
  <si>
    <t xml:space="preserve"> 15.3.4 </t>
  </si>
  <si>
    <t xml:space="preserve"> 15.3.5</t>
  </si>
  <si>
    <t xml:space="preserve"> 15.3.6</t>
  </si>
  <si>
    <t xml:space="preserve"> 89742 </t>
  </si>
  <si>
    <t>CURVA CURTA 90 GRAUS, PVC, SERIE NORMAL, ESGOTO PREDIAL, DN 75 MM, JUNTA ELÁSTICA, FORNECIDO E INSTALADO EM RAMAL DE DESCARGA OU RAMAL DE ESGOTO SANITÁRIO. AF_08/2022</t>
  </si>
  <si>
    <t xml:space="preserve"> 15.3.7</t>
  </si>
  <si>
    <t xml:space="preserve"> 89797 </t>
  </si>
  <si>
    <t>JUNÇÃO SIMPLES, PVC, SERIE NORMAL, ESGOTO PREDIAL, DN 100 X 100 MM, JUNTA ELÁSTICA, FORNECIDO E INSTALADO EM RAMAL DE DESCARGA OU RAMAL DE ESGOTO SANITÁRIO. AF_08/2022</t>
  </si>
  <si>
    <t xml:space="preserve"> 15.3.8</t>
  </si>
  <si>
    <t xml:space="preserve"> 89599 </t>
  </si>
  <si>
    <t>LUVA SIMPLES, PVC, SERIE R, ÁGUA PLUVIAL, DN 75 MM, JUNTA ELÁSTICA, FORNECIDO E INSTALADO EM CONDUTORES VERTICAIS DE ÁGUAS PLUVIAIS. AF_06/2022</t>
  </si>
  <si>
    <t xml:space="preserve"> 15.3.9</t>
  </si>
  <si>
    <t xml:space="preserve"> 89557 </t>
  </si>
  <si>
    <t>REDUÇÃO EXCÊNTRICA, PVC, SERIE R, ÁGUA PLUVIAL, DN 100 X 75 MM, JUNTA ELÁSTICA, FORNECIDO E INSTALADO EM RAMAL DE ENCAMINHAMENTO. AF_06/2022</t>
  </si>
  <si>
    <t xml:space="preserve"> 15.3.10</t>
  </si>
  <si>
    <t xml:space="preserve"> 46.05.020 </t>
  </si>
  <si>
    <t>TUBO PVC RÍGIDO, TIPO COLETOR ESGOTO, JUNTA ELÁSTICA, DN= 100 MM, INCLUSIVE CONEXÕES</t>
  </si>
  <si>
    <t xml:space="preserve"> 15.3.11</t>
  </si>
  <si>
    <t xml:space="preserve"> 46.05.040 </t>
  </si>
  <si>
    <t>TUBO PVC RÍGIDO, TIPO COLETOR ESGOTO, JUNTA ELÁSTICA, DN= 150 MM, INCLUSIVE CONEXÕES</t>
  </si>
  <si>
    <t xml:space="preserve"> 15.3.12</t>
  </si>
  <si>
    <t xml:space="preserve"> 46.01.070 </t>
  </si>
  <si>
    <t>TUBO DE PVC RÍGIDO SOLDÁVEL MARROM, DN= 75 MM, (2 1/2´), INCLUSIVE CONEXÕES</t>
  </si>
  <si>
    <t xml:space="preserve"> 15.3.13</t>
  </si>
  <si>
    <t xml:space="preserve"> 90696 </t>
  </si>
  <si>
    <t>TUBO DE PVC PARA REDE COLETORA DE ESGOTO DE PAREDE MACIÇA, DN 200 MM, JUNTA ELÁSTICA - FORNECIMENTO E ASSENTAMENTO. AF_01/2021</t>
  </si>
  <si>
    <t xml:space="preserve"> 15.3.14</t>
  </si>
  <si>
    <t xml:space="preserve"> 15.3.15</t>
  </si>
  <si>
    <t xml:space="preserve"> 15.3.16</t>
  </si>
  <si>
    <t xml:space="preserve"> 15.4 </t>
  </si>
  <si>
    <t>PREVENÇÃO E COMBATE A INCÊNDIO (PCI)</t>
  </si>
  <si>
    <t xml:space="preserve"> 15.4.1 </t>
  </si>
  <si>
    <t>97.02.197</t>
  </si>
  <si>
    <t>PLACA DE SINALIZAÇÃO EM PVC, COM INDICAÇÃO DE ALERTA.</t>
  </si>
  <si>
    <t xml:space="preserve"> 15.4.2 </t>
  </si>
  <si>
    <t xml:space="preserve"> 101910 </t>
  </si>
  <si>
    <t>EXTINTOR DE INCÊNDIO PORTÁTIL COM CARGA DE PQS DE 8 KG, CLASSE BC - FORNECIMENTO E INSTALAÇÃO. AF_10/2020_PE</t>
  </si>
  <si>
    <t xml:space="preserve"> 15.4.3 </t>
  </si>
  <si>
    <t>97.02.194</t>
  </si>
  <si>
    <t>PLACA DE SINALIZAÇÃO EM PVC FOTOLUMINESCENTE (150X150MM), COM INDICAÇÃO DE EQUIPAMENTOS DE COMBATE À INCÊNDIO E ALARME.</t>
  </si>
  <si>
    <t xml:space="preserve"> 15.4.4 </t>
  </si>
  <si>
    <t xml:space="preserve"> 97.02.210 </t>
  </si>
  <si>
    <t>PLACA DE SINALIZAÇÃO EM PVC PARA AMBIENTES</t>
  </si>
  <si>
    <t xml:space="preserve"> 15.4.5 </t>
  </si>
  <si>
    <t>97.02.195</t>
  </si>
  <si>
    <t>PLACA DE SINALIZAÇÃO EM PVC FOTOLUMINESCENTE (240X120MM), COM INDICAÇÃO DE ROTA DE EVACUAÇÃO E SAÍDA DE EMERGÊNCIA.</t>
  </si>
  <si>
    <t xml:space="preserve"> 15.4.6 </t>
  </si>
  <si>
    <t xml:space="preserve"> 97.02.198 </t>
  </si>
  <si>
    <t>PLACA DE SINALIZAÇÃO EM PVC, COM INDICAÇÃO DE PROIBIÇÃO NORMATIVA</t>
  </si>
  <si>
    <t xml:space="preserve"> 15.4.7 </t>
  </si>
  <si>
    <t xml:space="preserve"> 15.4.8 </t>
  </si>
  <si>
    <t xml:space="preserve"> 50.05.312 </t>
  </si>
  <si>
    <t>BLOCO AUTÔNOMO DE ILUMINAÇÃO DE EMERGÊNCIA LED, COM AUTONOMIA MÍNIMA DE 3 HORAS, FLUXO LUMINOSO DE 2.000 ATÉ 3.000 LÚMENS, EQUIPADO COM 2 FARÓIS</t>
  </si>
  <si>
    <t xml:space="preserve"> 15.4.9 </t>
  </si>
  <si>
    <t>50.01.060</t>
  </si>
  <si>
    <t>ABRIGO PARA HIDRANTE/MANGUEIRA (EMBUTIR E EXTERNO)</t>
  </si>
  <si>
    <t xml:space="preserve"> 15.4.10 </t>
  </si>
  <si>
    <t xml:space="preserve"> 15.4.11 </t>
  </si>
  <si>
    <t>INSTALAÇÕES ELÉTRICAS</t>
  </si>
  <si>
    <t xml:space="preserve"> 16.1 </t>
  </si>
  <si>
    <t>INFRAESTRUTURA</t>
  </si>
  <si>
    <t xml:space="preserve"> 16.1.1 </t>
  </si>
  <si>
    <t>LUVA PARA ELETRODUTO, PVC, ROSCÁVEL, DN 32 MM (1"), PARA CIRCUITOS TERMINAIS, INSTALADA EM FORRO - FORNECIMENTO E INSTALAÇÃO. AF_03/2023</t>
  </si>
  <si>
    <t xml:space="preserve"> 16.1.2 </t>
  </si>
  <si>
    <t xml:space="preserve"> 91940 </t>
  </si>
  <si>
    <t>CAIXA RETANGULAR 4" X 2" MÉDIA (1,30 M DO PISO), PVC, INSTALADA EM PAREDE - FORNECIMENTO E INSTALAÇÃO. AF_03/2023</t>
  </si>
  <si>
    <t xml:space="preserve"> 16.1.3 </t>
  </si>
  <si>
    <t xml:space="preserve"> 91937 </t>
  </si>
  <si>
    <t>CAIXA OCTOGONAL 3" X 3", PVC, INSTALADA EM LAJE - FORNECIMENTO E INSTALAÇÃO. AF_03/2023</t>
  </si>
  <si>
    <t xml:space="preserve"> 16.1.4</t>
  </si>
  <si>
    <t xml:space="preserve"> 92868 </t>
  </si>
  <si>
    <t>CAIXA RETANGULAR 4" X 2" MÉDIA (1,30 M DO PISO), METÁLICA, INSTALADA EM PAREDE - FORNECIMENTO E INSTALAÇÃO. AF_03/2023</t>
  </si>
  <si>
    <t xml:space="preserve"> 16.1.5</t>
  </si>
  <si>
    <t xml:space="preserve"> 91920 </t>
  </si>
  <si>
    <t>CURVA 90 GRAUS PARA ELETRODUTO, PVC, ROSCÁVEL, DN 40 MM (1 1/4"), PARA CIRCUITOS TERMINAIS, INSTALADA EM PAREDE - FORNECIMENTO E INSTALAÇÃO. AF_03/2023</t>
  </si>
  <si>
    <t xml:space="preserve"> 16.1.6</t>
  </si>
  <si>
    <t xml:space="preserve"> 91935 </t>
  </si>
  <si>
    <t>CABO DE COBRE FLEXÍVEL ISOLADO, 16 MM², ANTI-CHAMA 0,6/1,0 KV, PARA CIRCUITOS TERMINAIS - FORNECIMENTO E INSTALAÇÃO. AF_03/2023</t>
  </si>
  <si>
    <t xml:space="preserve"> 16.1.7</t>
  </si>
  <si>
    <t xml:space="preserve"> 92984 </t>
  </si>
  <si>
    <t>CABO DE COBRE FLEXÍVEL ISOLADO, 25 MM², ANTI-CHAMA 0,6/1,0 KV, PARA REDE ENTERRADA DE DISTRIBUIÇÃO DE ENERGIA ELÉTRICA - FORNECIMENTO E INSTALAÇÃO. AF_12/2021</t>
  </si>
  <si>
    <t xml:space="preserve"> 16.1.8</t>
  </si>
  <si>
    <t xml:space="preserve"> 92986 </t>
  </si>
  <si>
    <t>CABO DE COBRE FLEXÍVEL ISOLADO, 35 MM², ANTI-CHAMA 0,6/1,0 KV, PARA REDE ENTERRADA DE DISTRIBUIÇÃO DE ENERGIA ELÉTRICA - FORNECIMENTO E INSTALAÇÃO. AF_12/2021</t>
  </si>
  <si>
    <t xml:space="preserve"> 16.1.9</t>
  </si>
  <si>
    <t xml:space="preserve"> 92988 </t>
  </si>
  <si>
    <t>CABO DE COBRE FLEXÍVEL ISOLADO, 50 MM², ANTI-CHAMA 0,6/1,0 KV, PARA REDE ENTERRADA DE DISTRIBUIÇÃO DE ENERGIA ELÉTRICA - FORNECIMENTO E INSTALAÇÃO. AF_12/2021</t>
  </si>
  <si>
    <t xml:space="preserve"> 16.1.10</t>
  </si>
  <si>
    <t xml:space="preserve"> 91931 </t>
  </si>
  <si>
    <t>CABO DE COBRE FLEXÍVEL ISOLADO, 6 MM², ANTI-CHAMA 0,6/1,0 KV, PARA CIRCUITOS TERMINAIS - FORNECIMENTO E INSTALAÇÃO. AF_03/2023</t>
  </si>
  <si>
    <t xml:space="preserve"> 16.1.11</t>
  </si>
  <si>
    <t xml:space="preserve"> 91924 </t>
  </si>
  <si>
    <t>CABO DE COBRE FLEXÍVEL ISOLADO, 1,5 MM², ANTI-CHAMA 450/750 V, PARA CIRCUITOS TERMINAIS - FORNECIMENTO E INSTALAÇÃO. AF_03/2023</t>
  </si>
  <si>
    <t xml:space="preserve"> 16.1.12</t>
  </si>
  <si>
    <t xml:space="preserve"> 91926 </t>
  </si>
  <si>
    <t>CABO DE COBRE FLEXÍVEL ISOLADO, 2,5 MM², ANTI-CHAMA 450/750 V, PARA CIRCUITOS TERMINAIS - FORNECIMENTO E INSTALAÇÃO. AF_03/2023</t>
  </si>
  <si>
    <t xml:space="preserve"> 16.1.13</t>
  </si>
  <si>
    <t xml:space="preserve"> 91928 </t>
  </si>
  <si>
    <t>CABO DE COBRE FLEXÍVEL ISOLADO, 4 MM², ANTI-CHAMA 450/750 V, PARA CIRCUITOS TERMINAIS - FORNECIMENTO E INSTALAÇÃO. AF_03/2023</t>
  </si>
  <si>
    <t xml:space="preserve"> 16.1.14</t>
  </si>
  <si>
    <t xml:space="preserve"> 91930 </t>
  </si>
  <si>
    <t>CABO DE COBRE FLEXÍVEL ISOLADO, 6 MM², ANTI-CHAMA 450/750 V, PARA CIRCUITOS TERMINAIS - FORNECIMENTO E INSTALAÇÃO. AF_03/2023</t>
  </si>
  <si>
    <t xml:space="preserve"> 16.1.15</t>
  </si>
  <si>
    <t xml:space="preserve"> 97886 </t>
  </si>
  <si>
    <t>CAIXA ENTERRADA ELÉTRICA RETANGULAR, EM ALVENARIA COM TIJOLOS CERÂMICOS MACIÇOS, FUNDO COM BRITA, DIMENSÕES INTERNAS: 0,3X0,3X0,3 M. AF_12/2020</t>
  </si>
  <si>
    <t xml:space="preserve"> 16.1.16</t>
  </si>
  <si>
    <t>21.12.020</t>
  </si>
  <si>
    <t>CAIXA DE PASSAGEM CH.DE ACO C/TAMPA APARAF. 200x200x100 PISO FORNECIMENTO E INSTALAÇÃO</t>
  </si>
  <si>
    <t xml:space="preserve"> 16.1.17</t>
  </si>
  <si>
    <t>40.02.080</t>
  </si>
  <si>
    <t>Caixa de passagem em chapa, com tampa parafusada, 300 x 300 x 120 mm</t>
  </si>
  <si>
    <t xml:space="preserve"> 16.1.18</t>
  </si>
  <si>
    <t xml:space="preserve"> 91955 </t>
  </si>
  <si>
    <t>INTERRUPTOR PARALELO (1 MÓDULO), 10A/250V, INCLUINDO SUPORTE E PLACA - FORNECIMENTO E INSTALAÇÃO. AF_03/2023</t>
  </si>
  <si>
    <t xml:space="preserve"> 16.1.19</t>
  </si>
  <si>
    <t xml:space="preserve"> 91961 </t>
  </si>
  <si>
    <t>INTERRUPTOR PARALELO (2 MÓDULOS), 10A/250V, INCLUINDO SUPORTE E PLACA - FORNECIMENTO E INSTALAÇÃO. AF_03/2023</t>
  </si>
  <si>
    <t xml:space="preserve"> 16.1.20</t>
  </si>
  <si>
    <t xml:space="preserve"> 91957 </t>
  </si>
  <si>
    <t>INTERRUPTOR SIMPLES (1 MÓDULO) COM INTERRUPTOR PARALELO (1 MÓDULO), 10A/250V, INCLUINDO SUPORTE E PLACA - FORNECIMENTO E INSTALAÇÃO. AF_03/2023</t>
  </si>
  <si>
    <t xml:space="preserve"> 16.1.21</t>
  </si>
  <si>
    <t xml:space="preserve"> 91953 </t>
  </si>
  <si>
    <t>INTERRUPTOR SIMPLES (1 MÓDULO), 10A/250V, INCLUINDO SUPORTE E PLACA - FORNECIMENTO E INSTALAÇÃO. AF_03/2023</t>
  </si>
  <si>
    <t xml:space="preserve"> 16.1.22</t>
  </si>
  <si>
    <t xml:space="preserve">ESPELHO / PLACA CEGA 4" X 2", COM FURO PARA SAÍDA DE CABO DE SOM  FORNECIMENTO E INSTALAÇÃO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</si>
  <si>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16.1.23</t>
  </si>
  <si>
    <t xml:space="preserve">ESPELHO / PLACA CEGA 4" X 2", PARA INSTALACAO DE TOMADAS E INTERRUPTORES  FORNECIMENTO E INSTALAÇÃO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</si>
  <si>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16.1.24</t>
  </si>
  <si>
    <t>PLACA (ESPELHO) 1 POSTO HORIZONTAL 4x2  FORNECIMENTO E INSTALAÇÃO</t>
  </si>
  <si>
    <t xml:space="preserve"> 16.1.25</t>
  </si>
  <si>
    <t xml:space="preserve"> 91996 </t>
  </si>
  <si>
    <t>TOMADA MÉDIA DE EMBUTIR (1 MÓDULO), 2P+T 10 A, INCLUINDO SUPORTE E PLACA - FORNECIMENTO E INSTALAÇÃO. AF_03/2023</t>
  </si>
  <si>
    <t xml:space="preserve"> 16.1.26</t>
  </si>
  <si>
    <t xml:space="preserve"> 92028 </t>
  </si>
  <si>
    <t>INTERRUPTOR PARALELO (1 MÓDULO) COM 1 TOMADA DE EMBUTIR 2P+T 10 A, SEM SUPORTE E SEM PLACA - FORNECIMENTO E INSTALAÇÃO. AF_03/2023</t>
  </si>
  <si>
    <t xml:space="preserve"> 16.1.27</t>
  </si>
  <si>
    <t xml:space="preserve"> 92022 </t>
  </si>
  <si>
    <t>INTERRUPTOR SIMPLES (1 MÓDULO) COM 1 TOMADA DE EMBUTIR 2P+T 10 A, SEM SUPORTE E SEM PLACA - FORNECIMENTO E INSTALAÇÃO. AF_03/2023</t>
  </si>
  <si>
    <t xml:space="preserve"> 16.1.28</t>
  </si>
  <si>
    <t xml:space="preserve"> 92002 </t>
  </si>
  <si>
    <t>TOMADA MÉDIA DE EMBUTIR (2 MÓDULOS), 2P+T 10 A, SEM SUPORTE E SEM PLACA - FORNECIMENTO E INSTALAÇÃO. AF_03/2023</t>
  </si>
  <si>
    <t xml:space="preserve"> 16.1.29</t>
  </si>
  <si>
    <t xml:space="preserve"> 92003 </t>
  </si>
  <si>
    <t>TOMADA MÉDIA DE EMBUTIR (2 MÓDULOS), 2P+T 20 A, SEM SUPORTE E SEM PLACA - FORNECIMENTO E INSTALAÇÃO. AF_03/2023</t>
  </si>
  <si>
    <t xml:space="preserve"> 16.1.30</t>
  </si>
  <si>
    <t xml:space="preserve"> 92010 </t>
  </si>
  <si>
    <t>TOMADA MÉDIA DE EMBUTIR (3 MÓDULOS), 2P+T 10 A, SEM SUPORTE E SEM PLACA - FORNECIMENTO E INSTALAÇÃO. AF_03/2023</t>
  </si>
  <si>
    <t xml:space="preserve"> 16.1.31</t>
  </si>
  <si>
    <t xml:space="preserve"> 91994 </t>
  </si>
  <si>
    <t>TOMADA MÉDIA DE EMBUTIR (1 MÓDULO), 2P+T 10 A, SEM SUPORTE E SEM PLACA - FORNECIMENTO E INSTALAÇÃO. AF_03/2023</t>
  </si>
  <si>
    <t xml:space="preserve"> 16.1.32</t>
  </si>
  <si>
    <t xml:space="preserve"> 91995 </t>
  </si>
  <si>
    <t>TOMADA MÉDIA DE EMBUTIR (1 MÓDULO), 2P+T 20 A, SEM SUPORTE E SEM PLACA - FORNECIMENTO E INSTALAÇÃO. AF_03/2023</t>
  </si>
  <si>
    <t xml:space="preserve"> 16.1.33</t>
  </si>
  <si>
    <t>DISJUNTOR TRIPOLAR TIPO DIN, CORRENTE NOMINAL DE 63A - FORNECIMENTO E INSTALAÇÃO. AF_10/2020</t>
  </si>
  <si>
    <t xml:space="preserve"> 16.1.34</t>
  </si>
  <si>
    <t>DISJUNTOR TERMOMAGNÉTICO TRIPOLAR , CORRENTE NOMINAL DE 125A - FORNECIMENTO E INSTALAÇÃO. AF_10/2020</t>
  </si>
  <si>
    <t xml:space="preserve"> 16.1.35</t>
  </si>
  <si>
    <t xml:space="preserve"> 93653 </t>
  </si>
  <si>
    <t>DISJUNTOR MONOPOLAR TIPO DIN, CORRENTE NOMINAL DE 10A - FORNECIMENTO E INSTALAÇÃO. AF_10/2020</t>
  </si>
  <si>
    <t xml:space="preserve"> 16.1.36</t>
  </si>
  <si>
    <t xml:space="preserve"> 93654 </t>
  </si>
  <si>
    <t>DISJUNTOR MONOPOLAR TIPO DIN, CORRENTE NOMINAL DE 16A - FORNECIMENTO E INSTALAÇÃO. AF_10/2020</t>
  </si>
  <si>
    <t xml:space="preserve"> 16.1.37</t>
  </si>
  <si>
    <t xml:space="preserve"> 93661 </t>
  </si>
  <si>
    <t>DISJUNTOR BIPOLAR TIPO DIN, CORRENTE NOMINAL DE 16A - FORNECIMENTO E INSTALAÇÃO. AF_10/2020</t>
  </si>
  <si>
    <t xml:space="preserve"> 16.1.38</t>
  </si>
  <si>
    <t xml:space="preserve"> 93662 </t>
  </si>
  <si>
    <t>DISJUNTOR BIPOLAR TIPO DIN, CORRENTE NOMINAL DE 20A - FORNECIMENTO E INSTALAÇÃO. AF_10/2020</t>
  </si>
  <si>
    <t xml:space="preserve"> 16.1.39</t>
  </si>
  <si>
    <t xml:space="preserve"> 93664 </t>
  </si>
  <si>
    <t>DISJUNTOR BIPOLAR TIPO DIN, CORRENTE NOMINAL DE 32A - FORNECIMENTO E INSTALAÇÃO. AF_10/2020</t>
  </si>
  <si>
    <t xml:space="preserve"> 16.1.40</t>
  </si>
  <si>
    <t xml:space="preserve"> 93665 </t>
  </si>
  <si>
    <t>DISJUNTOR BIPOLAR TIPO DIN, CORRENTE NOMINAL DE 40A - FORNECIMENTO E INSTALAÇÃO. AF_10/2020</t>
  </si>
  <si>
    <t xml:space="preserve"> 16.1.41</t>
  </si>
  <si>
    <t>37.13.640</t>
  </si>
  <si>
    <t>DISJUNTOR TERMOMAGNÉTICO, BIPOLAR 220/380 V, CORRENTE DE 60 A ATÉ 100 A</t>
  </si>
  <si>
    <t xml:space="preserve"> 16.1.42</t>
  </si>
  <si>
    <t>37.25.100</t>
  </si>
  <si>
    <t>DISJUNTOR EM CAIXA MOLDADA TRIPOLAR, TÉRMICO E MAGNÉTICO FIXOS, TENSÃO DE ISOLAMENTO 480/690V, DE 70 A ATÉ 150 A</t>
  </si>
  <si>
    <t xml:space="preserve"> 16.1.43</t>
  </si>
  <si>
    <t>37.24.044</t>
  </si>
  <si>
    <t>DISPOSITIVO DE PROTEÇÃO CONTRA SURTO, 4 POLOS, SUPORTABILIDADE &lt;= 2,5KV, 3F+N, UM ATÉ 240/415V, CURVA DE ENSAIO 8/20us, In=20ka/40ka classe 2</t>
  </si>
  <si>
    <t xml:space="preserve"> 16.1.44</t>
  </si>
  <si>
    <t xml:space="preserve"> 37.24.042 </t>
  </si>
  <si>
    <t>DISPOSITIVO DE PROTEÇÃO CONTRA SURTO, 1 POLO, SUPORTABILIDADE &amp;LT;= 4 KV, UN ATÉ 240V/415V, IIMP = 60 KA, CURVA DE ENSAIO 10/350µS - CLASSE 1</t>
  </si>
  <si>
    <t xml:space="preserve"> 16.1.45</t>
  </si>
  <si>
    <t>38.12.255</t>
  </si>
  <si>
    <t>DISPOSITIVO DIF.RESIDUAL DR ALTA SENS. TETRAP.100A FORNECIMENTO E INSTALAÇÃO</t>
  </si>
  <si>
    <t xml:space="preserve"> 16.1.46</t>
  </si>
  <si>
    <t>23.23.563</t>
  </si>
  <si>
    <t>Dispositivo DR tetrapolar 100 A, tipo AC, 30MA FORNECIMENTO E INSTALAÇÃO</t>
  </si>
  <si>
    <t xml:space="preserve"> 16.1.47</t>
  </si>
  <si>
    <t>38.21.920</t>
  </si>
  <si>
    <t>Eletrocalha perfurada galvanizada a fogo, 100 x 50 mm, com acessórios</t>
  </si>
  <si>
    <t xml:space="preserve"> 16.1.48</t>
  </si>
  <si>
    <t>38.23.020</t>
  </si>
  <si>
    <t>Suporte para eletrocalha, galvanizado a fogo, 100x50 mm</t>
  </si>
  <si>
    <t xml:space="preserve"> 16.1.49</t>
  </si>
  <si>
    <t xml:space="preserve"> 91837 </t>
  </si>
  <si>
    <t>ELETRODUTO FLEXÍVEL CORRUGADO REFORÇADO, PVC, DN 32 MM (1"), PARA CIRCUITOS TERMINAIS, INSTALADO EM FORRO - FORNECIMENTO E INSTALAÇÃO. AF_03/2023</t>
  </si>
  <si>
    <t xml:space="preserve"> 16.1.50</t>
  </si>
  <si>
    <t xml:space="preserve"> 91835 </t>
  </si>
  <si>
    <t>ELETRODUTO FLEXÍVEL CORRUGADO REFORÇADO, PVC, DN 25 MM (3/4"), PARA CIRCUITOS TERMINAIS, INSTALADO EM FORRO - FORNECIMENTO E INSTALAÇÃO. AF_03/2023</t>
  </si>
  <si>
    <t xml:space="preserve"> 16.1.51</t>
  </si>
  <si>
    <t xml:space="preserve"> 93008 </t>
  </si>
  <si>
    <t>ELETRODUTO RÍGIDO ROSCÁVEL, PVC, DN 50 MM (1 1/2"), PARA REDE ENTERRADA DE DISTRIBUIÇÃO DE ENERGIA ELÉTRICA - FORNECIMENTO E INSTALAÇÃO. AF_12/2021</t>
  </si>
  <si>
    <t xml:space="preserve"> 16.1.52</t>
  </si>
  <si>
    <t xml:space="preserve"> 91865 </t>
  </si>
  <si>
    <t>ELETRODUTO RÍGIDO ROSCÁVEL, PVC, DN 40 MM (1 1/4"), PARA CIRCUITOS TERMINAIS, INSTALADO EM FORRO - FORNECIMENTO E INSTALAÇÃO. AF_03/2023</t>
  </si>
  <si>
    <t xml:space="preserve"> 16.1.53</t>
  </si>
  <si>
    <t xml:space="preserve"> 93009 </t>
  </si>
  <si>
    <t>ELETRODUTO RÍGIDO ROSCÁVEL, PVC, DN 60 MM (2"), PARA REDE ENTERRADA DE DISTRIBUIÇÃO DE ENERGIA ELÉTRICA - FORNECIMENTO E INSTALAÇÃO. AF_12/2021</t>
  </si>
  <si>
    <t xml:space="preserve"> 16.1.54</t>
  </si>
  <si>
    <t xml:space="preserve"> 38.04.080 </t>
  </si>
  <si>
    <t>ELETRODUTO GALVANIZADO CONFORME NBR13057 -  1 1/4´ COM ACESSÓRIOS</t>
  </si>
  <si>
    <t xml:space="preserve"> 16.1.55</t>
  </si>
  <si>
    <t xml:space="preserve"> 16.1.56</t>
  </si>
  <si>
    <t>41.20.080</t>
  </si>
  <si>
    <t>PLAFON PLÁSTICO E/OU PVC PARA ACABAMENTO DE PONTO DE LUZ, COM SOQUETE E-27 PARA LÂMPADA FLUORESCENTE COMPACTA</t>
  </si>
  <si>
    <t/>
  </si>
  <si>
    <t xml:space="preserve"> 16.1.57</t>
  </si>
  <si>
    <t xml:space="preserve"> 101538 </t>
  </si>
  <si>
    <t>ARMAÇÃO SECUNDÁRIA, COM 1 ESTRIBO E 1 ISOLADOR - FORNECIMENTO E INSTALAÇÃO. AF_07/2020</t>
  </si>
  <si>
    <t xml:space="preserve"> 16.1.58</t>
  </si>
  <si>
    <t xml:space="preserve"> 97359 </t>
  </si>
  <si>
    <t>QUADRO DE MEDIÇÃO GERAL DE ENERGIA COM 8 MEDIDORES - FORNECIMENTO E INSTALAÇÃO. AF_10/2020</t>
  </si>
  <si>
    <t xml:space="preserve"> 16.1.59</t>
  </si>
  <si>
    <t>QUADRO DE DISTRIBUICAO, EM PVC, DE EMBUTIR, COM BARRAMENTO TERRA / NEUTRO, PARA 12 DISJUNTORES NEMA OU 16 DISJUNTORES DIN    100 A FORNECIMENTO E INSTALAÇÃO</t>
  </si>
  <si>
    <t xml:space="preserve"> 16.1.60</t>
  </si>
  <si>
    <t>QUADRO DE DISTRIBUICAO, EM PVC, DE EMBUTIR, COM BARRAMENTO TERRA / NEUTRO, PARA 27 DISJUNTORES NEMA OU 36 DISJUNTORES DIN 100 A FORNECIMENTO E INSTALAÇÃO</t>
  </si>
  <si>
    <t xml:space="preserve"> 16.1.61</t>
  </si>
  <si>
    <t>QUADRO DE DISTRIBUICAO COM BARRAMENTO TRIFASICO, DE EMBUTIR,  PARA 54 DISJUNTORES DIN, 100 A FORNECIMENTO E INSTALAÇÃO</t>
  </si>
  <si>
    <t xml:space="preserve"> 16.2 </t>
  </si>
  <si>
    <t>ILUMINAÇÃO</t>
  </si>
  <si>
    <t xml:space="preserve"> 16.2.1 </t>
  </si>
  <si>
    <t xml:space="preserve"> 97607 </t>
  </si>
  <si>
    <t>LUMINÁRIA ARANDELA TIPO TARTARUGA, DE SOBREPOR, COM 1 LÂMPADA LED DE 6 W, SEM REATOR - FORNECIMENTO E INSTALAÇÃO. AF_02/2020</t>
  </si>
  <si>
    <t xml:space="preserve"> 16.2.2 </t>
  </si>
  <si>
    <t xml:space="preserve"> 41.31.040 </t>
  </si>
  <si>
    <t>LUMINÁRIA LED RETANGULAR DE SOBREPOR COM DIFUSOR TRANSLÚCIDO, 4000 K, FLUXO LUMINOSO DE 3690 A 4800 LM, POTÊNCIA DE 35 W A 41 W</t>
  </si>
  <si>
    <t xml:space="preserve"> 16.2.3 </t>
  </si>
  <si>
    <t>41.14.310</t>
  </si>
  <si>
    <t>LUMINÁRIA REDONDA DE EMBUTIR COM DIFUSOR RECUADO, PARA 1 OU 2 LÂMPADAS FLUORESCENTES COMPACTAS DE 15 W / 18 W / 20 W / 23 W / 26 W</t>
  </si>
  <si>
    <t xml:space="preserve"> 16.2.4 </t>
  </si>
  <si>
    <t>41.14.560</t>
  </si>
  <si>
    <t>LUMINÁRIA RETANGULAR DE EMBUTIR TIPO CALHA ABERTA COM ALETAS PARABÓLICAS PARA 2 LÂMPADAS FLUORESCENTES TUBULARES DE 28 W / 54 W</t>
  </si>
  <si>
    <t xml:space="preserve"> 16.2.5 </t>
  </si>
  <si>
    <t>41.11.712</t>
  </si>
  <si>
    <t>LUMINÁRIA LED REDONDA DE EMBUTIR PARA PAREDE OU PISO, ÁREA INTERNA OU EXTERNA, BIVOLT - POTÊNCIA 6 W</t>
  </si>
  <si>
    <t xml:space="preserve"> 16.3 </t>
  </si>
  <si>
    <t>SPDA</t>
  </si>
  <si>
    <t xml:space="preserve"> 16.3.1 </t>
  </si>
  <si>
    <t>42.05.380</t>
  </si>
  <si>
    <t>CAIXA DE EQUALIZAÇÃO, DE EMBUTIR, EM AÇO COM BARRAMENTO, DE 200 X 200 MM E TAMPA</t>
  </si>
  <si>
    <t xml:space="preserve"> 16.3.2 </t>
  </si>
  <si>
    <t xml:space="preserve"> 101801 </t>
  </si>
  <si>
    <t>CAIXA COM GRELHA RETANGULAR DE FERRO FUNDIDO, EM ALVENARIA COM BLOCOS DE CONCRETO, DIMENSÕES INTERNAS: 0,30 X 1,00 X 1,00. AF_12/2020</t>
  </si>
  <si>
    <t xml:space="preserve"> 16.3.3 </t>
  </si>
  <si>
    <t xml:space="preserve"> 98111 </t>
  </si>
  <si>
    <t>CAIXA DE INSPEÇÃO PARA ATERRAMENTO, CIRCULAR, EM POLIETILENO, DIÂMETRO INTERNO = 0,3 M. AF_12/2020</t>
  </si>
  <si>
    <t xml:space="preserve"> 16.3.4 </t>
  </si>
  <si>
    <t xml:space="preserve"> 96986 </t>
  </si>
  <si>
    <t>HASTE DE ATERRAMENTO, DIÂMETRO 3/4", COM 3 METROS - FORNECIMENTO E INSTALAÇÃO. AF_08/2023</t>
  </si>
  <si>
    <t xml:space="preserve"> 16.3.5 </t>
  </si>
  <si>
    <t xml:space="preserve"> 96989 </t>
  </si>
  <si>
    <t>CAPTOR TIPO FRANKLIN PARA SPDA - FORNECIMENTO E INSTALAÇÃO. AF_08/2023</t>
  </si>
  <si>
    <t xml:space="preserve"> 16.3.6 </t>
  </si>
  <si>
    <t xml:space="preserve"> 96988 </t>
  </si>
  <si>
    <t>MASTRO 1 ½", COM 3 METROS, PARA SPDA - FORNECIMENTO E INSTALAÇÃO. AF_08/2023</t>
  </si>
  <si>
    <t xml:space="preserve"> 16.3.7 </t>
  </si>
  <si>
    <t xml:space="preserve"> 104746 </t>
  </si>
  <si>
    <t>MINI CAPTOR PARA SPDA - FORNECIMENTO E INSTALAÇÃO. AF_08/2023</t>
  </si>
  <si>
    <t xml:space="preserve"> 16.3.8 </t>
  </si>
  <si>
    <t xml:space="preserve"> 96987 </t>
  </si>
  <si>
    <t>BASE METÁLICA PARA MASTRO 1 ½"  PARA SPDA - FORNECIMENTO E INSTALAÇÃO. AF_08/2023</t>
  </si>
  <si>
    <t xml:space="preserve"> 16.3.9 </t>
  </si>
  <si>
    <t xml:space="preserve"> 101663 </t>
  </si>
  <si>
    <t>ABRAÇADEIRA DE FIXAÇÃO DE BRAÇOS DE LUMINÁRIAS DE 2" - FORNECIMENTO E INSTALAÇÃO. AF_08/2020</t>
  </si>
  <si>
    <t xml:space="preserve"> 16.3.10 </t>
  </si>
  <si>
    <t>39.04.070</t>
  </si>
  <si>
    <t>CABO DE COBRE NU, TÊMPERA MOLE, CLASSE 2, DE 35 MM2</t>
  </si>
  <si>
    <t xml:space="preserve"> 16.3.11 </t>
  </si>
  <si>
    <t>39.04.080</t>
  </si>
  <si>
    <t>CABO DE COBRE NU, TÊMPERA MOLE, CLASSE 2, DE 50 MM2</t>
  </si>
  <si>
    <t xml:space="preserve"> 16.3.12 </t>
  </si>
  <si>
    <t xml:space="preserve"> 96984 </t>
  </si>
  <si>
    <t>ELETRODUTO PVC RÍGIDO, DIÂMETRO 40MM, COM 3 METROS, PARA SPDA - FORNECIMENTO E INSTALAÇÃO. AF_08/2023</t>
  </si>
  <si>
    <t xml:space="preserve"> 16.3.13 </t>
  </si>
  <si>
    <t xml:space="preserve"> 101548 </t>
  </si>
  <si>
    <t>ISOLADOR, TIPO ROLDANA, PARA BAIXA TENSÃO - FORNECIMENTO E INSTALAÇÃO. AF_07/2020</t>
  </si>
  <si>
    <t>CLIMATIZAÇÃO</t>
  </si>
  <si>
    <t xml:space="preserve"> 17.1 </t>
  </si>
  <si>
    <t xml:space="preserve"> 17.1.1 </t>
  </si>
  <si>
    <t xml:space="preserve"> 97331 </t>
  </si>
  <si>
    <t>TUBO EM COBRE FLEXÍVEL, DN 1/4", COM ISOLAMENTO, INSTALADO EM RAMAL DE ALIMENTAÇÃO DE AR CONDICIONADO COM CONDENSADORA CENTRAL - FORNECIMENTO E INSTALAÇÃO. AF_12/2015</t>
  </si>
  <si>
    <t xml:space="preserve"> 17.1.2 </t>
  </si>
  <si>
    <t xml:space="preserve"> 103290 </t>
  </si>
  <si>
    <t>TUBO EM COBRE FLEXÍVEL, DN 3/8", COM ISOLAMENTO, INSTALADO EM FORRO, PARA RAMAL DE ALIMENTAÇÃO DE AR CONDICIONADO, INCLUSO FIXADOR. AF_11/2021</t>
  </si>
  <si>
    <t xml:space="preserve"> 17.1.3 </t>
  </si>
  <si>
    <t xml:space="preserve"> 103291 </t>
  </si>
  <si>
    <t>TUBO EM COBRE FLEXÍVEL, DN 1/2", COM ISOLAMENTO, INSTALADO EM FORRO, PARA RAMAL DE ALIMENTAÇÃO DE AR CONDICIONADO, INCLUSO FIXADOR. AF_11/2021</t>
  </si>
  <si>
    <t xml:space="preserve"> 17.1.4 </t>
  </si>
  <si>
    <t xml:space="preserve"> 97330 </t>
  </si>
  <si>
    <t>TUBO EM COBRE FLEXÍVEL, DN 5/8", COM ISOLAMENTO, INSTALADO EM RAMAL DE ALIMENTAÇÃO DE AR CONDICIONADO COM CONDENSADORA INDIVIDUAL - FORNECIMENTO E INSTALAÇÃO. AF_12/2015</t>
  </si>
  <si>
    <t xml:space="preserve"> 17.1.5 </t>
  </si>
  <si>
    <t>39.24.173</t>
  </si>
  <si>
    <t>CABO DE COBRE FLEXÍVEL DE 4 X A MM2, ISOLAMENTO 500V - ISOLAÇÃO PP 70ºC</t>
  </si>
  <si>
    <t xml:space="preserve"> 17.1.6 </t>
  </si>
  <si>
    <t>43.20.130</t>
  </si>
  <si>
    <t>CAIXA DE PASSAGEM PARA CONDICIONAMENTO DE AR TIPO SPLIT, COM SAÍDA DE DRENO ÚNICO NA VERTICAL - 39 X 22 X 6 CM</t>
  </si>
  <si>
    <t xml:space="preserve"> 17.1.7 </t>
  </si>
  <si>
    <t>61.20.130</t>
  </si>
  <si>
    <t>DUTO EM CHAPA DE AÇO GALVANIZADO</t>
  </si>
  <si>
    <t xml:space="preserve"> 17.1.8 </t>
  </si>
  <si>
    <t>61.10.310</t>
  </si>
  <si>
    <t>DUTO FLEXÍVEL ALUMINIZADO, SEÇÃO CIRCULAR DE 15 CM (6')</t>
  </si>
  <si>
    <t xml:space="preserve"> 17.1.9</t>
  </si>
  <si>
    <t>61.10.300</t>
  </si>
  <si>
    <t>DUTO FLEXÍVEL ALUMINIZADO, SEÇÃO CIRCULAR DE 10 CM (4')</t>
  </si>
  <si>
    <t xml:space="preserve"> 17.1.10</t>
  </si>
  <si>
    <t xml:space="preserve"> 90460 </t>
  </si>
  <si>
    <t>SUPORTE PARA 2 TUBOS HORIZONTAIS, ESPAÇADO A CADA 56 CM, EM PERFILADO COM COMPRIMENTO DE 25 CM FIXADO EM LAJE, POR METRO DE TUBULAÇÃO FIXADA. AF_09/2023</t>
  </si>
  <si>
    <t xml:space="preserve"> 17.2 </t>
  </si>
  <si>
    <t xml:space="preserve"> 17.2.1 </t>
  </si>
  <si>
    <t>43.05.030</t>
  </si>
  <si>
    <t>EXAUSTOR ELÉTRICO EM PLÁSTICO, VAZÃO DE 150 A 190 M3 / H</t>
  </si>
  <si>
    <t xml:space="preserve"> 17.2.2 </t>
  </si>
  <si>
    <t xml:space="preserve"> 17.2.3 </t>
  </si>
  <si>
    <t>43.05.100</t>
  </si>
  <si>
    <t>INSUFLADOR DE AR COMPACTO, PARA RENOVAÇÃO DE AR EM AMBIENTES, VAZÃO MÁXIMA 93 M3 / H</t>
  </si>
  <si>
    <t xml:space="preserve"> 17.2.4 </t>
  </si>
  <si>
    <t>DADOS E VOZ</t>
  </si>
  <si>
    <t xml:space="preserve"> 18.1 </t>
  </si>
  <si>
    <t xml:space="preserve"> 18.2 </t>
  </si>
  <si>
    <t>CAIXA DE PASSAGEM EM CHAPA, COM TAMPA PARAFUSADA , 300 X 300 X 120 MM</t>
  </si>
  <si>
    <t xml:space="preserve"> 18.3 </t>
  </si>
  <si>
    <t xml:space="preserve"> 98307 </t>
  </si>
  <si>
    <t>TOMADA DE REDE RJ45 - FORNECIMENTO E INSTALAÇÃO. AF_11/2019</t>
  </si>
  <si>
    <t xml:space="preserve"> 18.4 </t>
  </si>
  <si>
    <t xml:space="preserve"> 18.5 </t>
  </si>
  <si>
    <t xml:space="preserve"> 18.6 </t>
  </si>
  <si>
    <t xml:space="preserve"> 18.7 </t>
  </si>
  <si>
    <t xml:space="preserve"> 18.8 </t>
  </si>
  <si>
    <t xml:space="preserve"> 69.20.340 </t>
  </si>
  <si>
    <t>TOMADA PARA TV, TIPO PINO JACK, COM PLACA</t>
  </si>
  <si>
    <t>GASES MEDICINAIS</t>
  </si>
  <si>
    <t xml:space="preserve"> 19.1 </t>
  </si>
  <si>
    <t xml:space="preserve"> 103835 </t>
  </si>
  <si>
    <t>TUBO EM COBRE RÍGIDO, DN 15 MM, CLASSE A, SEM ISOLAMENTO, INSTALADO EM RAMAL E SUB-RAMAL DE GÁS MEDICINAL - FORNECIMENTO E INSTALAÇÃO. AF_04/2022</t>
  </si>
  <si>
    <t xml:space="preserve"> 19.2 </t>
  </si>
  <si>
    <t xml:space="preserve"> 103865 </t>
  </si>
  <si>
    <t>TÊ EM COBRE, DN 15 MM, SEM ANEL DE SOLDA, INSTALADO EM RAMAL E SUB-RAMAL DE GÁS MEDICINAL - FORNECIMENTO E INSTALAÇÃO. AF_04/2022</t>
  </si>
  <si>
    <t xml:space="preserve"> 19.3 </t>
  </si>
  <si>
    <t xml:space="preserve"> 103838 </t>
  </si>
  <si>
    <t>COTOVELO EM COBRE, DN 15 MM, 90 GRAUS, SEM ANEL DE SOLDA, INSTALADO EM RAMAL E SUB-RAMAL DE GÁS MEDICINAL - FORNECIMENTO E INSTALAÇÃO. AF_04/2022</t>
  </si>
  <si>
    <t xml:space="preserve"> 19.4 </t>
  </si>
  <si>
    <t xml:space="preserve"> 103847 </t>
  </si>
  <si>
    <t>LUVA EM COBRE, DN 15 MM, SEM ANEL DE SOLDA, INSTALADO EM RAMAL E SUB-RAMAL DE GÁS MEDICINAL - FORNECIMENTO E INSTALAÇÃO. AF_04/2022</t>
  </si>
  <si>
    <t xml:space="preserve"> 19.5 </t>
  </si>
  <si>
    <t>24.26.01</t>
  </si>
  <si>
    <t>POSTO DE CONSUMO DE O2 OU AR VÁCUO OU N2O</t>
  </si>
  <si>
    <t xml:space="preserve"> 19.6 </t>
  </si>
  <si>
    <t xml:space="preserve"> 8733 </t>
  </si>
  <si>
    <t>Central manifold para cilindros 2 x 2 para oxigênio, ar comprimido e óxido nitroso com serpentina e sem válvula de alta pressão</t>
  </si>
  <si>
    <t xml:space="preserve"> 19.7 </t>
  </si>
  <si>
    <t xml:space="preserve"> 8732 </t>
  </si>
  <si>
    <t>Central manifold para cilindros 1 x 1para oxigênio, ar comprimido e óxido nitroso com serpentina e sem válvula de alta pressão</t>
  </si>
  <si>
    <t xml:space="preserve"> 19.8 </t>
  </si>
  <si>
    <t xml:space="preserve"> 19.9 </t>
  </si>
  <si>
    <t xml:space="preserve"> 12313 </t>
  </si>
  <si>
    <t>Corrente galvanizada</t>
  </si>
  <si>
    <t xml:space="preserve"> 19.10 </t>
  </si>
  <si>
    <t xml:space="preserve"> 100862 </t>
  </si>
  <si>
    <t>SUPORTE MÃO FRANCESA EM ACO, ABAS IGUAIS 40 CM, CAPACIDADE MINIMA 70 KG, BRANCO - FORNECIMENTO E INSTALAÇÃO. AF_01/2020</t>
  </si>
  <si>
    <t xml:space="preserve"> 19.11 </t>
  </si>
  <si>
    <t xml:space="preserve"> 91179 </t>
  </si>
  <si>
    <t>FIXAÇÃO DE TUBOS HORIZONTAIS DE PVC ÁGUA/PVC ESGOTO/PVC PLUVIAL/CPVC/PPR/COBRE OU AÇO, DIÂMETROS MENORES OU IGUAIS A 40 MM, COM ABRAÇADEIRA METÁLICA RÍGIDA TIPO  D  COM PARAFUSO DE FIXAÇÃO 1 1/4", FIXADA DIRETAMENTE NA LAJE OU PAREDE. AF_09/2023</t>
  </si>
  <si>
    <t>URBANIZAÇÃO</t>
  </si>
  <si>
    <t xml:space="preserve"> 20.1 </t>
  </si>
  <si>
    <t>PAVIMENTAÇÃO E ACESSIBILIDADE</t>
  </si>
  <si>
    <t xml:space="preserve"> 20.1.1 </t>
  </si>
  <si>
    <t xml:space="preserve"> 104658 </t>
  </si>
  <si>
    <t>PISO PODOTÁTIL DE ALERTA OU DIRECIONAL, DE CONCRETO, ASSENTADO SOBRE ARGAMASSA. AF_03/2024</t>
  </si>
  <si>
    <t xml:space="preserve"> 20.2 </t>
  </si>
  <si>
    <t>PAISAGISMO</t>
  </si>
  <si>
    <t xml:space="preserve"> 20.2.1 </t>
  </si>
  <si>
    <t xml:space="preserve"> 103946 </t>
  </si>
  <si>
    <t>PLANTIO DE GRAMA ESMERALDA OU SÃO CARLOS OU CURITIBANA, EM PLACAS. AF_05/2022</t>
  </si>
  <si>
    <t xml:space="preserve"> 20.3 </t>
  </si>
  <si>
    <t>SINALIZAÇÃO</t>
  </si>
  <si>
    <t xml:space="preserve"> 20.3.1 </t>
  </si>
  <si>
    <t xml:space="preserve"> 12043 </t>
  </si>
  <si>
    <t>Letra em aço inox escovado/polido 20 x 20cm - instalado</t>
  </si>
  <si>
    <t>SERVIÇOS COMPLEMENTARES</t>
  </si>
  <si>
    <t xml:space="preserve"> 21.1 </t>
  </si>
  <si>
    <t>55.01.020</t>
  </si>
  <si>
    <t>LIMPEZA FINAL DE OBRA</t>
  </si>
  <si>
    <t>M2</t>
  </si>
  <si>
    <t>21.2</t>
  </si>
  <si>
    <t>34.05.290</t>
  </si>
  <si>
    <t>Portão de abrir em grade de aço galvanizado eletrofundida, malha 65 x 132 mm, e pintura eletrostática</t>
  </si>
  <si>
    <t xml:space="preserve"> 21.3</t>
  </si>
  <si>
    <t>34.05.270</t>
  </si>
  <si>
    <t>Alambrado em tela de aço galvanizado de 2´, montantes metálicos retos</t>
  </si>
  <si>
    <t xml:space="preserve"> 21.4</t>
  </si>
  <si>
    <t>12.01.021</t>
  </si>
  <si>
    <t>Broca em concreto armado diâmetro de 20 cm - completa</t>
  </si>
  <si>
    <t xml:space="preserve"> 21.5</t>
  </si>
  <si>
    <t>06.02.020</t>
  </si>
  <si>
    <t>Escavação manual em solo de 1ª e 2ª categoria em vala ou cava até 1,5 m</t>
  </si>
  <si>
    <t>M3</t>
  </si>
  <si>
    <t xml:space="preserve"> 21.6</t>
  </si>
  <si>
    <t>09.01.020</t>
  </si>
  <si>
    <t>Forma em madeira comum para fundação (com reaproveitamento 2x)</t>
  </si>
  <si>
    <t xml:space="preserve"> 21.7</t>
  </si>
  <si>
    <t>11.18.040</t>
  </si>
  <si>
    <t>Lastro de pedra britada</t>
  </si>
  <si>
    <t xml:space="preserve"> 21.8</t>
  </si>
  <si>
    <t>11.01.130</t>
  </si>
  <si>
    <t>Concreto usinado, fck = 25 MPa</t>
  </si>
  <si>
    <t xml:space="preserve"> 21.9</t>
  </si>
  <si>
    <t>11.16.040</t>
  </si>
  <si>
    <t>Lançamento e adensamento de concreto ou massa em fundação</t>
  </si>
  <si>
    <t xml:space="preserve"> 21.10</t>
  </si>
  <si>
    <t>10.01.040</t>
  </si>
  <si>
    <t>Armadura em barra de aço CA-50 (A ou B) fyk = 500 MPa</t>
  </si>
  <si>
    <t xml:space="preserve"> 21.11</t>
  </si>
  <si>
    <t>32.16.010</t>
  </si>
  <si>
    <t>Impermeabilização em pintura de asfalto oxidado com solventes orgânicos, sobre massa</t>
  </si>
  <si>
    <t xml:space="preserve"> 21.12</t>
  </si>
  <si>
    <t>06.11.040</t>
  </si>
  <si>
    <t>Reaterro manual apiloado sem controle de compactação</t>
  </si>
  <si>
    <t xml:space="preserve"> 21.13</t>
  </si>
  <si>
    <t>14.01.060</t>
  </si>
  <si>
    <t>Alvenaria de embasamento em bloco de concreto de 19 x 19 x 39 cm - classe A</t>
  </si>
  <si>
    <t>14.10.121</t>
  </si>
  <si>
    <t>Alvenaria de bloco de concreto de vedação de 19 cm - classe C</t>
  </si>
  <si>
    <t xml:space="preserve"> 21.14</t>
  </si>
  <si>
    <t>11.03.090</t>
  </si>
  <si>
    <t>Concreto preparado no local, fck = 20 MPa</t>
  </si>
  <si>
    <t xml:space="preserve"> 21.15</t>
  </si>
  <si>
    <t>11.16.060</t>
  </si>
  <si>
    <t>Lançamento e adensamento de concreto ou massa em estrutura</t>
  </si>
  <si>
    <t xml:space="preserve"> 21.16</t>
  </si>
  <si>
    <t xml:space="preserve"> 21.17</t>
  </si>
  <si>
    <t>09.01.030</t>
  </si>
  <si>
    <t>Forma em madeira comum para estrutura (com reaproveitamento 2x)</t>
  </si>
  <si>
    <t xml:space="preserve"> 21.18</t>
  </si>
  <si>
    <t>17.02.020</t>
  </si>
  <si>
    <t>Chapisco</t>
  </si>
  <si>
    <t xml:space="preserve"> 21.19</t>
  </si>
  <si>
    <t>17.02.120</t>
  </si>
  <si>
    <t>Emboço comum</t>
  </si>
  <si>
    <t xml:space="preserve"> 21.20</t>
  </si>
  <si>
    <t>17.02.220</t>
  </si>
  <si>
    <t>Reboco</t>
  </si>
  <si>
    <t>Total Geral</t>
  </si>
  <si>
    <t>JORGE FRANZ AMARILLA TERRA</t>
  </si>
  <si>
    <t>ENGENHEIRO CIVIL  5055632527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</si>
</sst>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-* #,##0.00_-;\-* #,##0.00_-;_-* &quot;-&quot;??_-;_-@"/>
    <numFmt numFmtId="166" formatCode="#,##0.00\ %"/>
    <numFmt numFmtId="167" formatCode="_-&quot;R$&quot;\ * #,##0.00_-;\-&quot;R$&quot;\ * #,##0.00_-;_-&quot;R$&quot;\ * &quot;-&quot;??_-;_-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7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Arial"/>
      <family val="1"/>
    </font>
    <font>
      <sz val="11"/>
      <color rgb="FF000000"/>
      <name val="Arial"/>
      <family val="1"/>
    </font>
    <font>
      <sz val="10"/>
      <color theme="1"/>
      <name val="Arial"/>
      <family val="2"/>
    </font>
    <font>
      <b/>
      <sz val="11"/>
      <name val="Arial"/>
      <family val="1"/>
    </font>
    <font>
      <b/>
      <sz val="11"/>
      <color rgb="FF000000"/>
      <name val="Arial"/>
      <family val="2"/>
    </font>
    <font>
      <sz val="11"/>
      <name val="Arial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49" fontId="7" fillId="0" borderId="1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43" fontId="7" fillId="0" borderId="2" xfId="1" applyFont="1" applyBorder="1" applyAlignment="1">
      <alignment vertical="center"/>
    </xf>
    <xf numFmtId="165" fontId="7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43" fontId="4" fillId="0" borderId="0" xfId="1" applyFont="1" applyAlignment="1">
      <alignment vertical="center"/>
    </xf>
    <xf numFmtId="165" fontId="4" fillId="0" borderId="0" xfId="0" applyNumberFormat="1" applyFont="1" applyAlignment="1">
      <alignment vertical="center"/>
    </xf>
    <xf numFmtId="10" fontId="4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vertical="center"/>
    </xf>
    <xf numFmtId="49" fontId="4" fillId="0" borderId="5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43" fontId="7" fillId="0" borderId="0" xfId="1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left" vertical="center"/>
    </xf>
    <xf numFmtId="49" fontId="4" fillId="0" borderId="0" xfId="0" applyNumberFormat="1" applyFont="1" applyAlignment="1">
      <alignment vertical="center"/>
    </xf>
    <xf numFmtId="49" fontId="7" fillId="0" borderId="5" xfId="0" applyNumberFormat="1" applyFont="1" applyBorder="1" applyAlignment="1">
      <alignment vertical="center"/>
    </xf>
    <xf numFmtId="49" fontId="7" fillId="0" borderId="4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43" fontId="7" fillId="0" borderId="7" xfId="1" applyFont="1" applyBorder="1" applyAlignment="1">
      <alignment vertical="center"/>
    </xf>
    <xf numFmtId="165" fontId="7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9" fontId="4" fillId="0" borderId="8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/>
    </xf>
    <xf numFmtId="43" fontId="2" fillId="0" borderId="0" xfId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43" fontId="8" fillId="2" borderId="7" xfId="1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 wrapText="1"/>
    </xf>
    <xf numFmtId="10" fontId="8" fillId="2" borderId="7" xfId="0" applyNumberFormat="1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left" vertical="center" wrapText="1"/>
    </xf>
    <xf numFmtId="43" fontId="9" fillId="4" borderId="15" xfId="1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horizontal="right" vertical="center" wrapText="1"/>
    </xf>
    <xf numFmtId="4" fontId="9" fillId="4" borderId="15" xfId="0" applyNumberFormat="1" applyFont="1" applyFill="1" applyBorder="1" applyAlignment="1">
      <alignment horizontal="right" vertical="center" wrapText="1"/>
    </xf>
    <xf numFmtId="166" fontId="9" fillId="4" borderId="15" xfId="0" applyNumberFormat="1" applyFont="1" applyFill="1" applyBorder="1" applyAlignment="1">
      <alignment horizontal="right" vertical="center" wrapText="1"/>
    </xf>
    <xf numFmtId="10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left" vertical="center" wrapText="1"/>
    </xf>
    <xf numFmtId="43" fontId="10" fillId="5" borderId="15" xfId="1" applyFont="1" applyFill="1" applyBorder="1" applyAlignment="1">
      <alignment horizontal="right" vertical="center" wrapText="1"/>
    </xf>
    <xf numFmtId="4" fontId="10" fillId="5" borderId="15" xfId="0" applyNumberFormat="1" applyFont="1" applyFill="1" applyBorder="1" applyAlignment="1">
      <alignment horizontal="right" vertical="center" wrapText="1"/>
    </xf>
    <xf numFmtId="166" fontId="10" fillId="5" borderId="15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center" vertical="center"/>
    </xf>
    <xf numFmtId="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43" fontId="2" fillId="2" borderId="0" xfId="0" applyNumberFormat="1" applyFont="1" applyFill="1" applyBorder="1" applyAlignment="1">
      <alignment horizontal="center" vertical="center"/>
    </xf>
    <xf numFmtId="43" fontId="8" fillId="2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10" fillId="5" borderId="15" xfId="0" quotePrefix="1" applyNumberFormat="1" applyFont="1" applyFill="1" applyBorder="1" applyAlignment="1">
      <alignment horizontal="right" vertical="center" wrapText="1"/>
    </xf>
    <xf numFmtId="0" fontId="12" fillId="6" borderId="0" xfId="0" applyFont="1" applyFill="1" applyAlignment="1">
      <alignment horizontal="right" vertical="top" wrapText="1"/>
    </xf>
    <xf numFmtId="43" fontId="12" fillId="6" borderId="0" xfId="1" applyFont="1" applyFill="1" applyAlignment="1">
      <alignment horizontal="right" vertical="top" wrapText="1"/>
    </xf>
    <xf numFmtId="44" fontId="12" fillId="6" borderId="0" xfId="2" applyFont="1" applyFill="1" applyAlignment="1">
      <alignment horizontal="right" vertical="top" wrapText="1"/>
    </xf>
    <xf numFmtId="166" fontId="13" fillId="0" borderId="15" xfId="0" applyNumberFormat="1" applyFont="1" applyBorder="1" applyAlignment="1">
      <alignment horizontal="right" vertical="top" wrapText="1"/>
    </xf>
    <xf numFmtId="0" fontId="14" fillId="6" borderId="0" xfId="0" applyFont="1" applyFill="1" applyAlignment="1">
      <alignment horizontal="center" vertical="top" wrapText="1"/>
    </xf>
    <xf numFmtId="43" fontId="14" fillId="6" borderId="0" xfId="1" applyFont="1" applyFill="1" applyAlignment="1">
      <alignment horizontal="center" vertical="top" wrapText="1"/>
    </xf>
    <xf numFmtId="0" fontId="14" fillId="6" borderId="0" xfId="0" applyFont="1" applyFill="1" applyAlignment="1">
      <alignment horizontal="left" vertical="top" wrapText="1"/>
    </xf>
    <xf numFmtId="0" fontId="4" fillId="0" borderId="1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3" fontId="0" fillId="0" borderId="0" xfId="1" applyFont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/>
    <xf numFmtId="49" fontId="2" fillId="0" borderId="0" xfId="0" applyNumberFormat="1" applyFont="1" applyBorder="1" applyAlignment="1">
      <alignment horizontal="center" vertical="center"/>
    </xf>
    <xf numFmtId="0" fontId="12" fillId="6" borderId="0" xfId="0" applyFont="1" applyFill="1" applyAlignment="1">
      <alignment horizontal="right" vertical="top" wrapText="1"/>
    </xf>
    <xf numFmtId="0" fontId="12" fillId="6" borderId="0" xfId="0" applyFont="1" applyFill="1" applyAlignment="1">
      <alignment horizontal="left" vertical="top" wrapText="1"/>
    </xf>
    <xf numFmtId="4" fontId="12" fillId="6" borderId="0" xfId="0" applyNumberFormat="1" applyFont="1" applyFill="1" applyAlignment="1">
      <alignment horizontal="right" vertical="top" wrapText="1"/>
    </xf>
    <xf numFmtId="0" fontId="7" fillId="3" borderId="9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7" fillId="3" borderId="9" xfId="0" applyFont="1" applyFill="1" applyBorder="1" applyAlignment="1">
      <alignment horizontal="right" vertical="center" wrapText="1"/>
    </xf>
    <xf numFmtId="0" fontId="6" fillId="0" borderId="13" xfId="0" applyFont="1" applyBorder="1" applyAlignment="1">
      <alignment vertical="center"/>
    </xf>
    <xf numFmtId="0" fontId="7" fillId="3" borderId="9" xfId="0" applyFont="1" applyFill="1" applyBorder="1" applyAlignment="1">
      <alignment horizontal="left" vertical="center" wrapText="1"/>
    </xf>
    <xf numFmtId="43" fontId="7" fillId="3" borderId="9" xfId="1" applyFont="1" applyFill="1" applyBorder="1" applyAlignment="1">
      <alignment horizontal="center" vertical="center" wrapText="1"/>
    </xf>
    <xf numFmtId="43" fontId="6" fillId="0" borderId="13" xfId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7" fillId="0" borderId="4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1085850</xdr:colOff>
      <xdr:row>2</xdr:row>
      <xdr:rowOff>66675</xdr:rowOff>
    </xdr:from>
    <xdr:ext cx="1981200" cy="6477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669125" y="542925"/>
          <a:ext cx="1981200" cy="6477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257175</xdr:colOff>
      <xdr:row>1</xdr:row>
      <xdr:rowOff>66675</xdr:rowOff>
    </xdr:from>
    <xdr:ext cx="1866900" cy="981075"/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625" y="304800"/>
          <a:ext cx="1866900" cy="9810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Desktop\PLANILHA%20DE%20OR&#199;AMENTO%20UBS%20NOVO%20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/Desktop/UBS%20NOVA%20-%20CH&#193;CARA/PLANILHAS%20NOVAS/MS_UBS1_PLANILHA%20DE%20OR&#199;AMENTO_COM%20DESONERA&#199;&#195;O_SP%20%20%20%20%20%20CALCULO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GERAIS"/>
      <sheetName val="CRONOGRAMA"/>
      <sheetName val="RESUMO"/>
      <sheetName val="ORC. SINTÉTICO"/>
      <sheetName val="CPUS"/>
      <sheetName val="BDI SEM DESONERAÇÃO"/>
      <sheetName val="ENCARGOS SOCIAIS"/>
      <sheetName val="JUSTIFICATIVAS CPUS"/>
    </sheetNames>
    <sheetDataSet>
      <sheetData sheetId="0">
        <row r="8">
          <cell r="B8" t="str">
            <v>Secretaria de Atenção Especializada à Saúde</v>
          </cell>
        </row>
        <row r="9">
          <cell r="B9" t="str">
            <v>Unidade Básica de Saúde Porte 1 - Área Construída: 389,78m²</v>
          </cell>
        </row>
        <row r="22">
          <cell r="B22" t="str">
            <v>Data:</v>
          </cell>
        </row>
        <row r="23">
          <cell r="B23" t="str">
            <v>Revisão:</v>
          </cell>
        </row>
      </sheetData>
      <sheetData sheetId="1"/>
      <sheetData sheetId="2">
        <row r="8">
          <cell r="D8" t="str">
            <v>BDI Geral:</v>
          </cell>
          <cell r="E8" t="str">
            <v>Encargo Social Mensalista:</v>
          </cell>
        </row>
        <row r="9">
          <cell r="D9">
            <v>0.2200156031599354</v>
          </cell>
          <cell r="E9">
            <v>0.71460000000000001</v>
          </cell>
        </row>
        <row r="11">
          <cell r="B11" t="str">
            <v>Bancos:</v>
          </cell>
          <cell r="D11" t="str">
            <v>BDI Equipamentos:</v>
          </cell>
          <cell r="E11" t="str">
            <v>Encargo Social Horista:</v>
          </cell>
        </row>
        <row r="12">
          <cell r="D12">
            <v>0.15599027382875574</v>
          </cell>
          <cell r="E12">
            <v>1.1553798000000002</v>
          </cell>
        </row>
        <row r="39">
          <cell r="E39">
            <v>2239687.8025508341</v>
          </cell>
        </row>
      </sheetData>
      <sheetData sheetId="3"/>
      <sheetData sheetId="4">
        <row r="146">
          <cell r="L146">
            <v>163.32300000000001</v>
          </cell>
        </row>
        <row r="147">
          <cell r="L147">
            <v>130.00247999999999</v>
          </cell>
        </row>
        <row r="148">
          <cell r="L148">
            <v>12418.99</v>
          </cell>
        </row>
        <row r="149">
          <cell r="L149">
            <v>12712.315479999999</v>
          </cell>
        </row>
        <row r="164">
          <cell r="L164">
            <v>10.8125</v>
          </cell>
        </row>
        <row r="166">
          <cell r="L166">
            <v>102.73</v>
          </cell>
        </row>
        <row r="167">
          <cell r="L167">
            <v>113.5425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GERAIS"/>
      <sheetName val="RESUMO"/>
      <sheetName val="ORC. SINTÉTICO"/>
      <sheetName val="CPUS"/>
      <sheetName val="BDI DESONERADO"/>
      <sheetName val="ENCARGOS SOCIAIS"/>
      <sheetName val="JUSTIFICATIVAS CPUS"/>
      <sheetName val="Planilha1"/>
    </sheetNames>
    <sheetDataSet>
      <sheetData sheetId="0">
        <row r="12">
          <cell r="B12" t="str">
            <v>SINAPI (11/2024) - CPOS/CDHU (01/2025) - SBC (01/2025) - ORSE (10/2024) - IOPES (08/2024) - EMOP (11/2024) - SEINFRA (028)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BFBF"/>
    <outlinePr summaryBelow="0"/>
    <pageSetUpPr fitToPage="1"/>
  </sheetPr>
  <dimension ref="A1:AJ534"/>
  <sheetViews>
    <sheetView showGridLines="0" tabSelected="1" topLeftCell="D373" zoomScale="85" zoomScaleNormal="85" workbookViewId="0">
      <selection activeCell="J487" sqref="J487"/>
    </sheetView>
  </sheetViews>
  <sheetFormatPr defaultColWidth="14.42578125" defaultRowHeight="15" customHeight="1" x14ac:dyDescent="0.25"/>
  <cols>
    <col min="1" max="1" width="8.28515625" style="13" customWidth="1"/>
    <col min="2" max="2" width="12.140625" style="13" customWidth="1"/>
    <col min="3" max="3" width="17.42578125" style="13" customWidth="1"/>
    <col min="4" max="4" width="17.140625" style="13" customWidth="1"/>
    <col min="5" max="5" width="113.7109375" style="13" customWidth="1"/>
    <col min="6" max="6" width="9.7109375" style="13" customWidth="1"/>
    <col min="7" max="7" width="13" style="98" customWidth="1"/>
    <col min="8" max="8" width="19.85546875" style="13" customWidth="1"/>
    <col min="9" max="13" width="16.85546875" style="13" customWidth="1"/>
    <col min="14" max="14" width="23.5703125" style="13" customWidth="1"/>
    <col min="15" max="15" width="16.5703125" style="13" customWidth="1"/>
    <col min="16" max="16" width="18.28515625" style="13" customWidth="1"/>
    <col min="17" max="17" width="19.5703125" style="13" customWidth="1"/>
    <col min="18" max="19" width="17.28515625" style="13" customWidth="1"/>
    <col min="20" max="20" width="8.7109375" style="13" customWidth="1"/>
    <col min="21" max="21" width="20.42578125" style="13" customWidth="1"/>
    <col min="22" max="34" width="8.7109375" style="13" customWidth="1"/>
    <col min="35" max="16384" width="14.42578125" style="13"/>
  </cols>
  <sheetData>
    <row r="1" spans="1:36" ht="18.75" customHeight="1" x14ac:dyDescent="0.25">
      <c r="A1" s="1"/>
      <c r="B1" s="2"/>
      <c r="C1" s="3"/>
      <c r="D1" s="4"/>
      <c r="E1" s="4"/>
      <c r="F1" s="5"/>
      <c r="G1" s="6"/>
      <c r="H1" s="5"/>
      <c r="I1" s="7"/>
      <c r="J1" s="7"/>
      <c r="K1" s="7"/>
      <c r="L1" s="8"/>
      <c r="M1" s="9"/>
      <c r="N1" s="10"/>
      <c r="O1" s="10"/>
      <c r="P1" s="10"/>
      <c r="Q1" s="10"/>
      <c r="R1" s="11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12"/>
      <c r="AJ1" s="12"/>
    </row>
    <row r="2" spans="1:36" ht="18.75" customHeight="1" x14ac:dyDescent="0.25">
      <c r="A2" s="1"/>
      <c r="B2" s="116" t="s">
        <v>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8"/>
      <c r="P2" s="9"/>
      <c r="Q2" s="10"/>
      <c r="R2" s="10"/>
      <c r="S2" s="10"/>
      <c r="T2" s="10"/>
      <c r="U2" s="11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1:36" ht="18.75" customHeight="1" x14ac:dyDescent="0.25">
      <c r="A3" s="1"/>
      <c r="B3" s="119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1"/>
      <c r="P3" s="9"/>
      <c r="Q3" s="10"/>
      <c r="R3" s="10"/>
      <c r="S3" s="10"/>
      <c r="T3" s="10"/>
      <c r="U3" s="1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18.75" customHeight="1" x14ac:dyDescent="0.25">
      <c r="A4" s="1"/>
      <c r="B4" s="119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  <c r="P4" s="9"/>
      <c r="Q4" s="10"/>
      <c r="R4" s="10"/>
      <c r="S4" s="10"/>
      <c r="T4" s="10"/>
      <c r="U4" s="11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8.75" customHeight="1" x14ac:dyDescent="0.25">
      <c r="A5" s="1"/>
      <c r="B5" s="119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1"/>
      <c r="P5" s="9"/>
      <c r="Q5" s="10"/>
      <c r="R5" s="10"/>
      <c r="S5" s="10"/>
      <c r="T5" s="10"/>
      <c r="U5" s="11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18.75" customHeight="1" x14ac:dyDescent="0.25">
      <c r="A6" s="1"/>
      <c r="B6" s="122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4"/>
      <c r="P6" s="9"/>
      <c r="Q6" s="10"/>
      <c r="R6" s="10"/>
      <c r="S6" s="10"/>
      <c r="T6" s="10"/>
      <c r="U6" s="11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15" customHeight="1" x14ac:dyDescent="0.25">
      <c r="A7" s="1"/>
      <c r="B7" s="2"/>
      <c r="C7" s="3"/>
      <c r="D7" s="10"/>
      <c r="E7" s="4"/>
      <c r="F7" s="10"/>
      <c r="G7" s="6"/>
      <c r="H7" s="10"/>
      <c r="I7" s="10"/>
      <c r="J7" s="9"/>
      <c r="K7" s="5"/>
      <c r="L7" s="8"/>
      <c r="M7" s="8"/>
      <c r="N7" s="8"/>
      <c r="O7" s="8"/>
      <c r="P7" s="9"/>
      <c r="Q7" s="10"/>
      <c r="R7" s="10"/>
      <c r="S7" s="10"/>
      <c r="T7" s="10"/>
      <c r="U7" s="11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 ht="15" customHeight="1" x14ac:dyDescent="0.25">
      <c r="A8" s="1"/>
      <c r="B8" s="14" t="str">
        <f>'[1]DADOS GERAIS'!$B$8</f>
        <v>Secretaria de Atenção Especializada à Saúde</v>
      </c>
      <c r="C8" s="15"/>
      <c r="D8" s="16"/>
      <c r="E8" s="17"/>
      <c r="F8" s="16"/>
      <c r="G8" s="18"/>
      <c r="H8" s="16"/>
      <c r="I8" s="16"/>
      <c r="J8" s="19"/>
      <c r="K8" s="16" t="str">
        <f>[1]RESUMO!D8</f>
        <v>BDI Geral:</v>
      </c>
      <c r="L8" s="20"/>
      <c r="M8" s="16" t="str">
        <f>[1]RESUMO!E8</f>
        <v>Encargo Social Mensalista:</v>
      </c>
      <c r="N8" s="20"/>
      <c r="O8" s="21" t="str">
        <f>'[1]DADOS GERAIS'!$B$22</f>
        <v>Data:</v>
      </c>
      <c r="P8" s="9"/>
      <c r="Q8" s="10"/>
      <c r="R8" s="10"/>
      <c r="S8" s="10"/>
      <c r="T8" s="10"/>
      <c r="U8" s="11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36" ht="15" customHeight="1" x14ac:dyDescent="0.25">
      <c r="A9" s="1"/>
      <c r="B9" s="22" t="str">
        <f>'[1]DADOS GERAIS'!$B$9</f>
        <v>Unidade Básica de Saúde Porte 1 - Área Construída: 389,78m²</v>
      </c>
      <c r="C9" s="23"/>
      <c r="D9" s="24"/>
      <c r="E9" s="25"/>
      <c r="F9" s="12"/>
      <c r="G9" s="26"/>
      <c r="H9" s="12"/>
      <c r="I9" s="12"/>
      <c r="J9" s="27"/>
      <c r="K9" s="28">
        <f>[1]RESUMO!D9</f>
        <v>0.2200156031599354</v>
      </c>
      <c r="L9" s="29"/>
      <c r="M9" s="28">
        <f>[1]RESUMO!E9</f>
        <v>0.71460000000000001</v>
      </c>
      <c r="N9" s="29"/>
      <c r="O9" s="30" t="s">
        <v>1</v>
      </c>
      <c r="P9" s="9"/>
      <c r="Q9" s="10"/>
      <c r="R9" s="10"/>
      <c r="S9" s="10"/>
      <c r="T9" s="10"/>
      <c r="U9" s="11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spans="1:36" ht="15" customHeight="1" x14ac:dyDescent="0.25">
      <c r="A10" s="1"/>
      <c r="B10" s="31" t="str">
        <f>[1]RESUMO!B11</f>
        <v>Bancos:</v>
      </c>
      <c r="C10" s="23"/>
      <c r="D10" s="24"/>
      <c r="E10" s="25"/>
      <c r="F10" s="24"/>
      <c r="G10" s="32"/>
      <c r="H10" s="24"/>
      <c r="I10" s="24"/>
      <c r="J10" s="33"/>
      <c r="K10" s="24" t="str">
        <f>[1]RESUMO!D11</f>
        <v>BDI Equipamentos:</v>
      </c>
      <c r="L10" s="12"/>
      <c r="M10" s="25" t="str">
        <f>[1]RESUMO!E11</f>
        <v>Encargo Social Horista:</v>
      </c>
      <c r="N10" s="12"/>
      <c r="O10" s="34" t="str">
        <f>'[1]DADOS GERAIS'!$B$23</f>
        <v>Revisão:</v>
      </c>
      <c r="P10" s="9"/>
      <c r="Q10" s="10"/>
      <c r="R10" s="10"/>
      <c r="S10" s="10"/>
      <c r="T10" s="10"/>
      <c r="U10" s="11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5" customHeight="1" x14ac:dyDescent="0.25">
      <c r="A11" s="1"/>
      <c r="B11" s="125" t="s">
        <v>2</v>
      </c>
      <c r="C11" s="126"/>
      <c r="D11" s="126"/>
      <c r="E11" s="126"/>
      <c r="F11" s="24"/>
      <c r="G11" s="32"/>
      <c r="H11" s="24"/>
      <c r="I11" s="24"/>
      <c r="J11" s="33"/>
      <c r="K11" s="24"/>
      <c r="L11" s="12"/>
      <c r="M11" s="25"/>
      <c r="N11" s="12"/>
      <c r="O11" s="34"/>
      <c r="P11" s="9"/>
      <c r="Q11" s="10"/>
      <c r="R11" s="10"/>
      <c r="S11" s="10"/>
      <c r="T11" s="10"/>
      <c r="U11" s="11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</row>
    <row r="12" spans="1:36" ht="15" customHeight="1" x14ac:dyDescent="0.25">
      <c r="A12" s="1"/>
      <c r="B12" s="127" t="s">
        <v>3</v>
      </c>
      <c r="C12" s="128"/>
      <c r="D12" s="128"/>
      <c r="E12" s="128"/>
      <c r="F12" s="24"/>
      <c r="G12" s="32"/>
      <c r="H12" s="24"/>
      <c r="I12" s="24"/>
      <c r="J12" s="33"/>
      <c r="K12" s="24"/>
      <c r="L12" s="12"/>
      <c r="M12" s="25"/>
      <c r="N12" s="12"/>
      <c r="O12" s="34"/>
      <c r="P12" s="9"/>
      <c r="Q12" s="10"/>
      <c r="R12" s="10"/>
      <c r="S12" s="10"/>
      <c r="T12" s="10"/>
      <c r="U12" s="11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36" ht="15" customHeight="1" x14ac:dyDescent="0.25">
      <c r="A13" s="1"/>
      <c r="B13" s="127" t="s">
        <v>4</v>
      </c>
      <c r="C13" s="128"/>
      <c r="D13" s="128"/>
      <c r="E13" s="128"/>
      <c r="F13" s="24"/>
      <c r="G13" s="32"/>
      <c r="H13" s="24"/>
      <c r="I13" s="24"/>
      <c r="J13" s="33"/>
      <c r="K13" s="24"/>
      <c r="L13" s="12"/>
      <c r="M13" s="25"/>
      <c r="N13" s="12"/>
      <c r="O13" s="34"/>
      <c r="P13" s="9"/>
      <c r="Q13" s="10"/>
      <c r="R13" s="10"/>
      <c r="S13" s="10"/>
      <c r="T13" s="10"/>
      <c r="U13" s="11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36" ht="15" customHeight="1" x14ac:dyDescent="0.25">
      <c r="A14" s="1"/>
      <c r="B14" s="127" t="s">
        <v>5</v>
      </c>
      <c r="C14" s="128"/>
      <c r="D14" s="128"/>
      <c r="E14" s="128"/>
      <c r="F14" s="24"/>
      <c r="G14" s="32"/>
      <c r="H14" s="24"/>
      <c r="I14" s="24"/>
      <c r="J14" s="33"/>
      <c r="K14" s="28">
        <f>[1]RESUMO!D12</f>
        <v>0.15599027382875574</v>
      </c>
      <c r="L14" s="35"/>
      <c r="M14" s="28">
        <f>[1]RESUMO!E12</f>
        <v>1.1553798000000002</v>
      </c>
      <c r="N14" s="35"/>
      <c r="O14" s="36"/>
      <c r="P14" s="9"/>
      <c r="Q14" s="10"/>
      <c r="R14" s="10"/>
      <c r="S14" s="10"/>
      <c r="T14" s="10"/>
      <c r="U14" s="11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36" ht="15" customHeight="1" x14ac:dyDescent="0.25">
      <c r="A15" s="1"/>
      <c r="B15" s="37" t="str">
        <f>'[2]DADOS GERAIS'!$B$12</f>
        <v>SINAPI (11/2024) - CPOS/CDHU (01/2025) - SBC (01/2025) - ORSE (10/2024) - IOPES (08/2024) - EMOP (11/2024) - SEINFRA (028)</v>
      </c>
      <c r="C15" s="23"/>
      <c r="D15" s="24"/>
      <c r="E15" s="25"/>
      <c r="F15" s="24"/>
      <c r="G15" s="32"/>
      <c r="H15" s="24"/>
      <c r="I15" s="24"/>
      <c r="J15" s="33"/>
      <c r="K15" s="28"/>
      <c r="L15" s="35"/>
      <c r="M15" s="28"/>
      <c r="N15" s="35"/>
      <c r="O15" s="36"/>
      <c r="P15" s="9"/>
      <c r="Q15" s="10"/>
      <c r="R15" s="10"/>
      <c r="S15" s="10"/>
      <c r="T15" s="10"/>
      <c r="U15" s="11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36" ht="15" customHeight="1" x14ac:dyDescent="0.25">
      <c r="A16" s="1"/>
      <c r="B16" s="129" t="s">
        <v>6</v>
      </c>
      <c r="C16" s="130"/>
      <c r="D16" s="130"/>
      <c r="E16" s="130"/>
      <c r="F16" s="38"/>
      <c r="G16" s="39"/>
      <c r="H16" s="38"/>
      <c r="I16" s="38"/>
      <c r="J16" s="40"/>
      <c r="K16" s="38"/>
      <c r="L16" s="41"/>
      <c r="M16" s="41"/>
      <c r="N16" s="41"/>
      <c r="O16" s="42"/>
      <c r="P16" s="43"/>
      <c r="Q16" s="44"/>
      <c r="R16" s="44"/>
      <c r="S16" s="44"/>
      <c r="T16" s="44"/>
      <c r="U16" s="45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1:36" ht="15" customHeight="1" x14ac:dyDescent="0.25">
      <c r="A17" s="1"/>
      <c r="B17" s="2"/>
      <c r="C17" s="46"/>
      <c r="D17" s="8"/>
      <c r="E17" s="47"/>
      <c r="F17" s="8"/>
      <c r="G17" s="48"/>
      <c r="H17" s="8"/>
      <c r="I17" s="8"/>
      <c r="J17" s="49"/>
      <c r="K17" s="10"/>
      <c r="L17" s="8"/>
      <c r="M17" s="8"/>
      <c r="N17" s="8"/>
      <c r="O17" s="8"/>
      <c r="P17" s="9"/>
      <c r="Q17" s="10"/>
      <c r="R17" s="10"/>
      <c r="S17" s="10"/>
      <c r="T17" s="10"/>
      <c r="U17" s="11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6" ht="15" customHeight="1" x14ac:dyDescent="0.25">
      <c r="A18" s="50"/>
      <c r="B18" s="106" t="s">
        <v>7</v>
      </c>
      <c r="C18" s="106" t="s">
        <v>8</v>
      </c>
      <c r="D18" s="106" t="s">
        <v>9</v>
      </c>
      <c r="E18" s="113" t="s">
        <v>10</v>
      </c>
      <c r="F18" s="106" t="s">
        <v>11</v>
      </c>
      <c r="G18" s="114" t="s">
        <v>12</v>
      </c>
      <c r="H18" s="106" t="s">
        <v>13</v>
      </c>
      <c r="I18" s="108" t="s">
        <v>14</v>
      </c>
      <c r="J18" s="109"/>
      <c r="K18" s="110"/>
      <c r="L18" s="108" t="s">
        <v>15</v>
      </c>
      <c r="M18" s="109"/>
      <c r="N18" s="110"/>
      <c r="O18" s="111" t="s">
        <v>16</v>
      </c>
      <c r="P18" s="3"/>
      <c r="Q18" s="3"/>
      <c r="R18" s="45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12"/>
      <c r="AJ18" s="12"/>
    </row>
    <row r="19" spans="1:36" x14ac:dyDescent="0.25">
      <c r="A19" s="50"/>
      <c r="B19" s="107"/>
      <c r="C19" s="107"/>
      <c r="D19" s="107"/>
      <c r="E19" s="112"/>
      <c r="F19" s="107"/>
      <c r="G19" s="115"/>
      <c r="H19" s="107"/>
      <c r="I19" s="51" t="s">
        <v>17</v>
      </c>
      <c r="J19" s="51" t="s">
        <v>18</v>
      </c>
      <c r="K19" s="51" t="s">
        <v>15</v>
      </c>
      <c r="L19" s="51" t="s">
        <v>17</v>
      </c>
      <c r="M19" s="51" t="s">
        <v>18</v>
      </c>
      <c r="N19" s="51" t="s">
        <v>15</v>
      </c>
      <c r="O19" s="112"/>
      <c r="P19" s="3"/>
      <c r="Q19" s="3"/>
      <c r="R19" s="45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12"/>
      <c r="AJ19" s="12"/>
    </row>
    <row r="20" spans="1:36" ht="15.75" x14ac:dyDescent="0.25">
      <c r="A20" s="1"/>
      <c r="B20" s="52"/>
      <c r="C20" s="53"/>
      <c r="D20" s="53"/>
      <c r="E20" s="54"/>
      <c r="F20" s="55"/>
      <c r="G20" s="56"/>
      <c r="H20" s="53"/>
      <c r="I20" s="57"/>
      <c r="J20" s="57"/>
      <c r="K20" s="57"/>
      <c r="L20" s="58"/>
      <c r="M20" s="43"/>
      <c r="N20" s="3"/>
      <c r="O20" s="3"/>
      <c r="P20" s="3"/>
      <c r="Q20" s="3"/>
      <c r="R20" s="11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12"/>
      <c r="AJ20" s="12"/>
    </row>
    <row r="21" spans="1:36" ht="20.100000000000001" customHeight="1" x14ac:dyDescent="0.25">
      <c r="A21" s="1"/>
      <c r="B21" s="59">
        <v>1</v>
      </c>
      <c r="C21" s="59"/>
      <c r="D21" s="59"/>
      <c r="E21" s="60" t="s">
        <v>19</v>
      </c>
      <c r="F21" s="60"/>
      <c r="G21" s="61"/>
      <c r="H21" s="62"/>
      <c r="I21" s="60"/>
      <c r="J21" s="60"/>
      <c r="K21" s="60"/>
      <c r="L21" s="60"/>
      <c r="M21" s="60"/>
      <c r="N21" s="63">
        <f>N22+N33+N35</f>
        <v>144740.44619999998</v>
      </c>
      <c r="O21" s="64">
        <f>N21/$N$472</f>
        <v>6.4625277699486339E-2</v>
      </c>
      <c r="P21" s="65"/>
      <c r="Q21" s="65"/>
      <c r="R21" s="47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12"/>
      <c r="AJ21" s="12"/>
    </row>
    <row r="22" spans="1:36" ht="20.100000000000001" customHeight="1" x14ac:dyDescent="0.25">
      <c r="A22" s="1"/>
      <c r="B22" s="59" t="s">
        <v>20</v>
      </c>
      <c r="C22" s="59"/>
      <c r="D22" s="59"/>
      <c r="E22" s="60" t="s">
        <v>21</v>
      </c>
      <c r="F22" s="60"/>
      <c r="G22" s="61"/>
      <c r="H22" s="62"/>
      <c r="I22" s="60"/>
      <c r="J22" s="60"/>
      <c r="K22" s="60"/>
      <c r="L22" s="60"/>
      <c r="M22" s="60"/>
      <c r="N22" s="63">
        <f>SUM(N23:N32)</f>
        <v>85663.837199999994</v>
      </c>
      <c r="O22" s="64">
        <f>N22/$N$472</f>
        <v>3.8248115251793308E-2</v>
      </c>
      <c r="P22" s="66"/>
      <c r="Q22" s="49"/>
      <c r="R22" s="47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12"/>
      <c r="AJ22" s="12"/>
    </row>
    <row r="23" spans="1:36" ht="20.100000000000001" customHeight="1" x14ac:dyDescent="0.25">
      <c r="A23" s="1"/>
      <c r="B23" s="67" t="s">
        <v>22</v>
      </c>
      <c r="C23" s="67" t="s">
        <v>23</v>
      </c>
      <c r="D23" s="67" t="s">
        <v>24</v>
      </c>
      <c r="E23" s="68" t="s">
        <v>25</v>
      </c>
      <c r="F23" s="67" t="s">
        <v>26</v>
      </c>
      <c r="G23" s="69">
        <v>10</v>
      </c>
      <c r="H23" s="70">
        <v>907.29</v>
      </c>
      <c r="I23" s="70">
        <f>87.51*1.22</f>
        <v>106.76220000000001</v>
      </c>
      <c r="J23" s="70">
        <f>819.78*1.22</f>
        <v>1000.1315999999999</v>
      </c>
      <c r="K23" s="70">
        <f t="shared" ref="K23:K32" si="0">I23+J23</f>
        <v>1106.8937999999998</v>
      </c>
      <c r="L23" s="70">
        <f t="shared" ref="L23:L32" si="1">G23*I23</f>
        <v>1067.6220000000001</v>
      </c>
      <c r="M23" s="70">
        <f t="shared" ref="M23:M32" si="2">G23*J23</f>
        <v>10001.315999999999</v>
      </c>
      <c r="N23" s="70">
        <f t="shared" ref="N23:N32" si="3">L23+M23</f>
        <v>11068.937999999998</v>
      </c>
      <c r="O23" s="71">
        <f>N23/$N$472</f>
        <v>4.9421789891400574E-3</v>
      </c>
      <c r="P23" s="12"/>
      <c r="Q23" s="49"/>
      <c r="R23" s="45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12"/>
      <c r="AJ23" s="12"/>
    </row>
    <row r="24" spans="1:36" ht="20.100000000000001" customHeight="1" x14ac:dyDescent="0.25">
      <c r="A24" s="1"/>
      <c r="B24" s="67" t="s">
        <v>27</v>
      </c>
      <c r="C24" s="67" t="s">
        <v>28</v>
      </c>
      <c r="D24" s="67" t="s">
        <v>24</v>
      </c>
      <c r="E24" s="68" t="s">
        <v>29</v>
      </c>
      <c r="F24" s="67" t="s">
        <v>30</v>
      </c>
      <c r="G24" s="69">
        <v>10</v>
      </c>
      <c r="H24" s="70">
        <v>560.91999999999996</v>
      </c>
      <c r="I24" s="70">
        <f>137.29*1.22</f>
        <v>167.49379999999999</v>
      </c>
      <c r="J24" s="70">
        <f>423.63*1.22</f>
        <v>516.82859999999994</v>
      </c>
      <c r="K24" s="70">
        <f t="shared" si="0"/>
        <v>684.3223999999999</v>
      </c>
      <c r="L24" s="70">
        <f t="shared" si="1"/>
        <v>1674.9379999999999</v>
      </c>
      <c r="M24" s="70">
        <f t="shared" si="2"/>
        <v>5168.2859999999991</v>
      </c>
      <c r="N24" s="70">
        <f t="shared" si="3"/>
        <v>6843.2239999999993</v>
      </c>
      <c r="O24" s="71">
        <f t="shared" ref="O24:O53" si="4">N24/$N$472</f>
        <v>3.0554365622771562E-3</v>
      </c>
      <c r="P24" s="12"/>
      <c r="Q24" s="49"/>
      <c r="R24" s="47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12"/>
      <c r="AJ24" s="12"/>
    </row>
    <row r="25" spans="1:36" ht="33" customHeight="1" x14ac:dyDescent="0.25">
      <c r="A25" s="1"/>
      <c r="B25" s="67" t="s">
        <v>31</v>
      </c>
      <c r="C25" s="67" t="s">
        <v>32</v>
      </c>
      <c r="D25" s="67" t="s">
        <v>24</v>
      </c>
      <c r="E25" s="68" t="s">
        <v>33</v>
      </c>
      <c r="F25" s="67" t="s">
        <v>26</v>
      </c>
      <c r="G25" s="69">
        <v>10</v>
      </c>
      <c r="H25" s="70">
        <v>1356.53</v>
      </c>
      <c r="I25" s="70">
        <f>146.73*1.22</f>
        <v>179.01059999999998</v>
      </c>
      <c r="J25" s="70">
        <f>1209.8*1.22</f>
        <v>1475.9559999999999</v>
      </c>
      <c r="K25" s="70">
        <f t="shared" si="0"/>
        <v>1654.9666</v>
      </c>
      <c r="L25" s="70">
        <f t="shared" si="1"/>
        <v>1790.1059999999998</v>
      </c>
      <c r="M25" s="70">
        <f t="shared" si="2"/>
        <v>14759.56</v>
      </c>
      <c r="N25" s="70">
        <f t="shared" si="3"/>
        <v>16549.665999999997</v>
      </c>
      <c r="O25" s="71">
        <f t="shared" si="4"/>
        <v>7.3892736215963612E-3</v>
      </c>
      <c r="P25" s="12"/>
      <c r="Q25" s="49"/>
      <c r="R25" s="47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12"/>
      <c r="AJ25" s="12"/>
    </row>
    <row r="26" spans="1:36" ht="20.100000000000001" customHeight="1" x14ac:dyDescent="0.25">
      <c r="A26" s="1"/>
      <c r="B26" s="67" t="s">
        <v>34</v>
      </c>
      <c r="C26" s="67" t="s">
        <v>28</v>
      </c>
      <c r="D26" s="67" t="s">
        <v>24</v>
      </c>
      <c r="E26" s="68" t="s">
        <v>35</v>
      </c>
      <c r="F26" s="67" t="s">
        <v>30</v>
      </c>
      <c r="G26" s="69">
        <v>6</v>
      </c>
      <c r="H26" s="70">
        <v>560.91999999999996</v>
      </c>
      <c r="I26" s="70">
        <f>137.29*1.22</f>
        <v>167.49379999999999</v>
      </c>
      <c r="J26" s="70">
        <f>423.63*1.22</f>
        <v>516.82859999999994</v>
      </c>
      <c r="K26" s="70">
        <f t="shared" si="0"/>
        <v>684.3223999999999</v>
      </c>
      <c r="L26" s="70">
        <f t="shared" si="1"/>
        <v>1004.9628</v>
      </c>
      <c r="M26" s="70">
        <f t="shared" si="2"/>
        <v>3100.9715999999999</v>
      </c>
      <c r="N26" s="70">
        <f t="shared" si="3"/>
        <v>4105.9344000000001</v>
      </c>
      <c r="O26" s="71">
        <f t="shared" si="4"/>
        <v>1.8332619373662941E-3</v>
      </c>
      <c r="P26" s="12"/>
      <c r="Q26" s="49"/>
      <c r="R26" s="47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12"/>
      <c r="AJ26" s="12"/>
    </row>
    <row r="27" spans="1:36" ht="33" customHeight="1" x14ac:dyDescent="0.25">
      <c r="A27" s="1"/>
      <c r="B27" s="67" t="s">
        <v>36</v>
      </c>
      <c r="C27" s="67" t="s">
        <v>37</v>
      </c>
      <c r="D27" s="67" t="s">
        <v>38</v>
      </c>
      <c r="E27" s="68" t="s">
        <v>39</v>
      </c>
      <c r="F27" s="67" t="s">
        <v>40</v>
      </c>
      <c r="G27" s="69">
        <v>1</v>
      </c>
      <c r="H27" s="70">
        <v>581.80999999999995</v>
      </c>
      <c r="I27" s="70">
        <f>86.38*1.22</f>
        <v>105.38359999999999</v>
      </c>
      <c r="J27" s="70">
        <f>495.43*1.22</f>
        <v>604.42459999999994</v>
      </c>
      <c r="K27" s="70">
        <f t="shared" si="0"/>
        <v>709.80819999999994</v>
      </c>
      <c r="L27" s="70">
        <f t="shared" si="1"/>
        <v>105.38359999999999</v>
      </c>
      <c r="M27" s="70">
        <f t="shared" si="2"/>
        <v>604.42459999999994</v>
      </c>
      <c r="N27" s="70">
        <f t="shared" si="3"/>
        <v>709.80819999999994</v>
      </c>
      <c r="O27" s="71">
        <f t="shared" si="4"/>
        <v>3.1692283147302154E-4</v>
      </c>
      <c r="P27" s="12"/>
      <c r="Q27" s="49"/>
      <c r="R27" s="47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12"/>
      <c r="AJ27" s="12"/>
    </row>
    <row r="28" spans="1:36" ht="20.100000000000001" customHeight="1" x14ac:dyDescent="0.25">
      <c r="A28" s="1"/>
      <c r="B28" s="67" t="s">
        <v>41</v>
      </c>
      <c r="C28" s="67" t="s">
        <v>42</v>
      </c>
      <c r="D28" s="67" t="s">
        <v>38</v>
      </c>
      <c r="E28" s="68" t="s">
        <v>43</v>
      </c>
      <c r="F28" s="67" t="s">
        <v>40</v>
      </c>
      <c r="G28" s="69">
        <v>1</v>
      </c>
      <c r="H28" s="70">
        <v>93.2</v>
      </c>
      <c r="I28" s="70">
        <f>22.69*1.22</f>
        <v>27.681800000000003</v>
      </c>
      <c r="J28" s="70">
        <f>115.89*1.22</f>
        <v>141.38579999999999</v>
      </c>
      <c r="K28" s="70">
        <f t="shared" si="0"/>
        <v>169.0676</v>
      </c>
      <c r="L28" s="70">
        <f t="shared" si="1"/>
        <v>27.681800000000003</v>
      </c>
      <c r="M28" s="70">
        <f t="shared" si="2"/>
        <v>141.38579999999999</v>
      </c>
      <c r="N28" s="70">
        <f t="shared" si="3"/>
        <v>169.0676</v>
      </c>
      <c r="O28" s="71">
        <f t="shared" si="4"/>
        <v>7.5487128075370531E-5</v>
      </c>
      <c r="P28" s="12"/>
      <c r="Q28" s="49"/>
      <c r="R28" s="47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12"/>
      <c r="AJ28" s="12"/>
    </row>
    <row r="29" spans="1:36" ht="33" customHeight="1" x14ac:dyDescent="0.25">
      <c r="A29" s="1"/>
      <c r="B29" s="67" t="s">
        <v>44</v>
      </c>
      <c r="C29" s="67" t="s">
        <v>45</v>
      </c>
      <c r="D29" s="67" t="s">
        <v>38</v>
      </c>
      <c r="E29" s="68" t="s">
        <v>46</v>
      </c>
      <c r="F29" s="67" t="s">
        <v>40</v>
      </c>
      <c r="G29" s="69">
        <v>1</v>
      </c>
      <c r="H29" s="70">
        <v>2032.81</v>
      </c>
      <c r="I29" s="70">
        <f>575.5*1.22</f>
        <v>702.11</v>
      </c>
      <c r="J29" s="70">
        <f>1457.31*1.22</f>
        <v>1777.9181999999998</v>
      </c>
      <c r="K29" s="70">
        <f t="shared" si="0"/>
        <v>2480.0281999999997</v>
      </c>
      <c r="L29" s="70">
        <f t="shared" si="1"/>
        <v>702.11</v>
      </c>
      <c r="M29" s="70">
        <f t="shared" si="2"/>
        <v>1777.9181999999998</v>
      </c>
      <c r="N29" s="70">
        <f t="shared" si="3"/>
        <v>2480.0281999999997</v>
      </c>
      <c r="O29" s="71">
        <f t="shared" si="4"/>
        <v>1.1073097764677006E-3</v>
      </c>
      <c r="P29" s="12"/>
      <c r="Q29" s="49"/>
      <c r="R29" s="47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12"/>
      <c r="AJ29" s="12"/>
    </row>
    <row r="30" spans="1:36" ht="33" customHeight="1" x14ac:dyDescent="0.25">
      <c r="A30" s="1"/>
      <c r="B30" s="67" t="s">
        <v>47</v>
      </c>
      <c r="C30" s="67" t="s">
        <v>48</v>
      </c>
      <c r="D30" s="67" t="s">
        <v>38</v>
      </c>
      <c r="E30" s="68" t="s">
        <v>49</v>
      </c>
      <c r="F30" s="67" t="s">
        <v>30</v>
      </c>
      <c r="G30" s="69">
        <v>6</v>
      </c>
      <c r="H30" s="70">
        <v>470.64</v>
      </c>
      <c r="I30" s="70">
        <f>38.48*1.22</f>
        <v>46.945599999999992</v>
      </c>
      <c r="J30" s="70">
        <f>432.16*1.22</f>
        <v>527.23519999999996</v>
      </c>
      <c r="K30" s="70">
        <f t="shared" si="0"/>
        <v>574.18079999999998</v>
      </c>
      <c r="L30" s="70">
        <f t="shared" si="1"/>
        <v>281.67359999999996</v>
      </c>
      <c r="M30" s="70">
        <f t="shared" si="2"/>
        <v>3163.4111999999996</v>
      </c>
      <c r="N30" s="70">
        <f t="shared" si="3"/>
        <v>3445.0847999999996</v>
      </c>
      <c r="O30" s="71">
        <f t="shared" si="4"/>
        <v>1.5381986704023256E-3</v>
      </c>
      <c r="P30" s="12"/>
      <c r="Q30" s="49"/>
      <c r="R30" s="47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12"/>
      <c r="AJ30" s="12"/>
    </row>
    <row r="31" spans="1:36" ht="33" customHeight="1" x14ac:dyDescent="0.25">
      <c r="A31" s="1"/>
      <c r="B31" s="67" t="s">
        <v>50</v>
      </c>
      <c r="C31" s="67" t="s">
        <v>51</v>
      </c>
      <c r="D31" s="67" t="s">
        <v>24</v>
      </c>
      <c r="E31" s="68" t="s">
        <v>52</v>
      </c>
      <c r="F31" s="67" t="s">
        <v>53</v>
      </c>
      <c r="G31" s="69">
        <v>100</v>
      </c>
      <c r="H31" s="70">
        <v>109.37</v>
      </c>
      <c r="I31" s="70">
        <f>12.96*1.22</f>
        <v>15.811200000000001</v>
      </c>
      <c r="J31" s="70">
        <f>95.51*1.22</f>
        <v>116.5222</v>
      </c>
      <c r="K31" s="70">
        <f t="shared" si="0"/>
        <v>132.33340000000001</v>
      </c>
      <c r="L31" s="70">
        <f t="shared" si="1"/>
        <v>1581.1200000000001</v>
      </c>
      <c r="M31" s="70">
        <f t="shared" si="2"/>
        <v>11652.22</v>
      </c>
      <c r="N31" s="70">
        <f t="shared" si="3"/>
        <v>13233.34</v>
      </c>
      <c r="O31" s="71">
        <f t="shared" si="4"/>
        <v>5.9085645708871707E-3</v>
      </c>
      <c r="P31" s="12"/>
      <c r="Q31" s="49"/>
      <c r="R31" s="47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12"/>
      <c r="AJ31" s="12"/>
    </row>
    <row r="32" spans="1:36" ht="20.100000000000001" customHeight="1" x14ac:dyDescent="0.25">
      <c r="A32" s="1"/>
      <c r="B32" s="67" t="s">
        <v>54</v>
      </c>
      <c r="C32" s="67" t="s">
        <v>55</v>
      </c>
      <c r="D32" s="67" t="s">
        <v>38</v>
      </c>
      <c r="E32" s="68" t="s">
        <v>56</v>
      </c>
      <c r="F32" s="67" t="s">
        <v>30</v>
      </c>
      <c r="G32" s="69">
        <v>330</v>
      </c>
      <c r="H32" s="70">
        <v>91.95</v>
      </c>
      <c r="I32" s="70">
        <f>21.03*1.22</f>
        <v>25.656600000000001</v>
      </c>
      <c r="J32" s="70">
        <f>46.18*1.22</f>
        <v>56.339599999999997</v>
      </c>
      <c r="K32" s="70">
        <f t="shared" si="0"/>
        <v>81.996200000000002</v>
      </c>
      <c r="L32" s="70">
        <f t="shared" si="1"/>
        <v>8466.6779999999999</v>
      </c>
      <c r="M32" s="70">
        <f t="shared" si="2"/>
        <v>18592.067999999999</v>
      </c>
      <c r="N32" s="70">
        <f t="shared" si="3"/>
        <v>27058.745999999999</v>
      </c>
      <c r="O32" s="71">
        <f t="shared" si="4"/>
        <v>1.2081481164107849E-2</v>
      </c>
      <c r="P32" s="12"/>
      <c r="Q32" s="49"/>
      <c r="R32" s="47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12"/>
      <c r="AJ32" s="12"/>
    </row>
    <row r="33" spans="1:36" ht="20.100000000000001" customHeight="1" x14ac:dyDescent="0.25">
      <c r="A33" s="1"/>
      <c r="B33" s="59" t="s">
        <v>57</v>
      </c>
      <c r="C33" s="59"/>
      <c r="D33" s="59"/>
      <c r="E33" s="60" t="s">
        <v>58</v>
      </c>
      <c r="F33" s="60"/>
      <c r="G33" s="61"/>
      <c r="H33" s="62"/>
      <c r="I33" s="60"/>
      <c r="J33" s="60"/>
      <c r="K33" s="60"/>
      <c r="L33" s="60"/>
      <c r="M33" s="60"/>
      <c r="N33" s="63">
        <f>SUM(N34)</f>
        <v>51826.453999999998</v>
      </c>
      <c r="O33" s="64">
        <f>N33/$N$472</f>
        <v>2.3140034937446909E-2</v>
      </c>
      <c r="P33" s="12"/>
      <c r="Q33" s="49"/>
      <c r="R33" s="47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12"/>
      <c r="AJ33" s="12"/>
    </row>
    <row r="34" spans="1:36" ht="20.100000000000001" customHeight="1" x14ac:dyDescent="0.25">
      <c r="A34" s="1"/>
      <c r="B34" s="67" t="s">
        <v>59</v>
      </c>
      <c r="C34" s="67" t="s">
        <v>60</v>
      </c>
      <c r="D34" s="67" t="s">
        <v>38</v>
      </c>
      <c r="E34" s="68" t="s">
        <v>61</v>
      </c>
      <c r="F34" s="67" t="s">
        <v>62</v>
      </c>
      <c r="G34" s="69">
        <v>2</v>
      </c>
      <c r="H34" s="70">
        <v>21240.35</v>
      </c>
      <c r="I34" s="70">
        <f>20838.44*1.22</f>
        <v>25422.896799999999</v>
      </c>
      <c r="J34" s="70">
        <f>401.91*1.22</f>
        <v>490.33020000000005</v>
      </c>
      <c r="K34" s="70">
        <f>I34+J34</f>
        <v>25913.226999999999</v>
      </c>
      <c r="L34" s="70">
        <f>G34*I34</f>
        <v>50845.793599999997</v>
      </c>
      <c r="M34" s="70">
        <f>G34*J34</f>
        <v>980.6604000000001</v>
      </c>
      <c r="N34" s="70">
        <f>L34+M34</f>
        <v>51826.453999999998</v>
      </c>
      <c r="O34" s="71">
        <f t="shared" si="4"/>
        <v>2.3140034937446909E-2</v>
      </c>
      <c r="P34" s="12"/>
      <c r="Q34" s="49"/>
      <c r="R34" s="47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2"/>
      <c r="AJ34" s="12"/>
    </row>
    <row r="35" spans="1:36" ht="20.100000000000001" customHeight="1" x14ac:dyDescent="0.25">
      <c r="A35" s="1"/>
      <c r="B35" s="59" t="s">
        <v>63</v>
      </c>
      <c r="C35" s="59"/>
      <c r="D35" s="59"/>
      <c r="E35" s="60" t="s">
        <v>64</v>
      </c>
      <c r="F35" s="60"/>
      <c r="G35" s="61"/>
      <c r="H35" s="62"/>
      <c r="I35" s="60"/>
      <c r="J35" s="60"/>
      <c r="K35" s="60"/>
      <c r="L35" s="60"/>
      <c r="M35" s="60"/>
      <c r="N35" s="63">
        <f>SUM(N36)</f>
        <v>7250.1549999999988</v>
      </c>
      <c r="O35" s="64">
        <f>N35/$N$472</f>
        <v>3.237127510246126E-3</v>
      </c>
      <c r="P35" s="12"/>
      <c r="Q35" s="49"/>
      <c r="R35" s="45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2"/>
      <c r="AJ35" s="12"/>
    </row>
    <row r="36" spans="1:36" ht="20.100000000000001" customHeight="1" x14ac:dyDescent="0.25">
      <c r="A36" s="1"/>
      <c r="B36" s="67" t="s">
        <v>65</v>
      </c>
      <c r="C36" s="67" t="s">
        <v>66</v>
      </c>
      <c r="D36" s="67" t="s">
        <v>24</v>
      </c>
      <c r="E36" s="68" t="s">
        <v>67</v>
      </c>
      <c r="F36" s="67" t="s">
        <v>68</v>
      </c>
      <c r="G36" s="69">
        <v>275</v>
      </c>
      <c r="H36" s="70">
        <v>21.61</v>
      </c>
      <c r="I36" s="70">
        <f>5.14*1.22</f>
        <v>6.2707999999999995</v>
      </c>
      <c r="J36" s="70">
        <f>16.47*1.22</f>
        <v>20.093399999999999</v>
      </c>
      <c r="K36" s="70">
        <f>I36+J36</f>
        <v>26.364199999999997</v>
      </c>
      <c r="L36" s="70">
        <f>G36*I36</f>
        <v>1724.4699999999998</v>
      </c>
      <c r="M36" s="70">
        <f>G36*J36</f>
        <v>5525.6849999999995</v>
      </c>
      <c r="N36" s="70">
        <f>L36+M36</f>
        <v>7250.1549999999988</v>
      </c>
      <c r="O36" s="71">
        <f t="shared" si="4"/>
        <v>3.237127510246126E-3</v>
      </c>
      <c r="P36" s="12"/>
      <c r="Q36" s="49"/>
      <c r="R36" s="47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12"/>
      <c r="AJ36" s="12"/>
    </row>
    <row r="37" spans="1:36" ht="20.100000000000001" customHeight="1" x14ac:dyDescent="0.25">
      <c r="A37" s="1"/>
      <c r="B37" s="59">
        <v>2</v>
      </c>
      <c r="C37" s="59"/>
      <c r="D37" s="59"/>
      <c r="E37" s="60" t="s">
        <v>69</v>
      </c>
      <c r="F37" s="60"/>
      <c r="G37" s="61"/>
      <c r="H37" s="62"/>
      <c r="I37" s="60"/>
      <c r="J37" s="60"/>
      <c r="K37" s="60"/>
      <c r="L37" s="60"/>
      <c r="M37" s="60"/>
      <c r="N37" s="63">
        <f>SUM(N38:N53)</f>
        <v>227443.59082819999</v>
      </c>
      <c r="O37" s="64">
        <f>N37/$N$472</f>
        <v>0.10155147095463887</v>
      </c>
      <c r="P37" s="12"/>
      <c r="Q37" s="49"/>
      <c r="R37" s="47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12"/>
      <c r="AJ37" s="12"/>
    </row>
    <row r="38" spans="1:36" ht="33" customHeight="1" x14ac:dyDescent="0.25">
      <c r="A38" s="1"/>
      <c r="B38" s="67" t="s">
        <v>70</v>
      </c>
      <c r="C38" s="67" t="s">
        <v>71</v>
      </c>
      <c r="D38" s="67" t="s">
        <v>38</v>
      </c>
      <c r="E38" s="68" t="s">
        <v>72</v>
      </c>
      <c r="F38" s="67" t="s">
        <v>73</v>
      </c>
      <c r="G38" s="69">
        <v>125</v>
      </c>
      <c r="H38" s="70">
        <v>74.72</v>
      </c>
      <c r="I38" s="70">
        <f>36.33*1.22</f>
        <v>44.322599999999994</v>
      </c>
      <c r="J38" s="70">
        <f>38.39*1.22</f>
        <v>46.835799999999999</v>
      </c>
      <c r="K38" s="70">
        <f t="shared" ref="K38:K53" si="5">I38+J38</f>
        <v>91.1584</v>
      </c>
      <c r="L38" s="70">
        <f t="shared" ref="L38:L53" si="6">G38*I38</f>
        <v>5540.3249999999989</v>
      </c>
      <c r="M38" s="70">
        <f t="shared" ref="M38:M53" si="7">G38*J38</f>
        <v>5854.4749999999995</v>
      </c>
      <c r="N38" s="70">
        <f t="shared" ref="N38:N53" si="8">L38+M38</f>
        <v>11394.8</v>
      </c>
      <c r="O38" s="71">
        <f t="shared" si="4"/>
        <v>5.0876733743971765E-3</v>
      </c>
      <c r="P38" s="12"/>
      <c r="Q38" s="49"/>
      <c r="R38" s="47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12"/>
      <c r="AJ38" s="12"/>
    </row>
    <row r="39" spans="1:36" ht="50.1" customHeight="1" x14ac:dyDescent="0.25">
      <c r="A39" s="1"/>
      <c r="B39" s="67" t="s">
        <v>74</v>
      </c>
      <c r="C39" s="67" t="s">
        <v>75</v>
      </c>
      <c r="D39" s="67" t="s">
        <v>38</v>
      </c>
      <c r="E39" s="68" t="s">
        <v>76</v>
      </c>
      <c r="F39" s="67" t="s">
        <v>53</v>
      </c>
      <c r="G39" s="69">
        <v>203.88</v>
      </c>
      <c r="H39" s="70">
        <v>14.35</v>
      </c>
      <c r="I39" s="70">
        <f>5.42*1.22</f>
        <v>6.6124000000000001</v>
      </c>
      <c r="J39" s="70">
        <f>8.93*1.22</f>
        <v>10.894599999999999</v>
      </c>
      <c r="K39" s="70">
        <f t="shared" si="5"/>
        <v>17.506999999999998</v>
      </c>
      <c r="L39" s="70">
        <f t="shared" si="6"/>
        <v>1348.1361119999999</v>
      </c>
      <c r="M39" s="70">
        <f t="shared" si="7"/>
        <v>2221.1910479999997</v>
      </c>
      <c r="N39" s="70">
        <f t="shared" si="8"/>
        <v>3569.3271599999998</v>
      </c>
      <c r="O39" s="71">
        <f t="shared" si="4"/>
        <v>1.5936717411841094E-3</v>
      </c>
      <c r="P39" s="12"/>
      <c r="Q39" s="49"/>
      <c r="R39" s="47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12"/>
      <c r="AJ39" s="12"/>
    </row>
    <row r="40" spans="1:36" ht="20.100000000000001" customHeight="1" x14ac:dyDescent="0.25">
      <c r="A40" s="1"/>
      <c r="B40" s="67" t="s">
        <v>77</v>
      </c>
      <c r="C40" s="67" t="s">
        <v>78</v>
      </c>
      <c r="D40" s="67" t="s">
        <v>38</v>
      </c>
      <c r="E40" s="68" t="s">
        <v>79</v>
      </c>
      <c r="F40" s="67" t="s">
        <v>53</v>
      </c>
      <c r="G40" s="69">
        <v>23.341999999999999</v>
      </c>
      <c r="H40" s="70">
        <v>115.98</v>
      </c>
      <c r="I40" s="70">
        <f>3.08*1.22</f>
        <v>3.7576000000000001</v>
      </c>
      <c r="J40" s="70">
        <f>8.45*1.22</f>
        <v>10.308999999999999</v>
      </c>
      <c r="K40" s="70">
        <f t="shared" si="5"/>
        <v>14.066599999999999</v>
      </c>
      <c r="L40" s="70">
        <f t="shared" si="6"/>
        <v>87.709899199999995</v>
      </c>
      <c r="M40" s="70">
        <f t="shared" si="7"/>
        <v>240.63267799999997</v>
      </c>
      <c r="N40" s="70">
        <f t="shared" si="8"/>
        <v>328.34257719999994</v>
      </c>
      <c r="O40" s="71">
        <f t="shared" si="4"/>
        <v>1.4660194015703558E-4</v>
      </c>
      <c r="P40" s="12"/>
      <c r="Q40" s="49"/>
      <c r="R40" s="47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12"/>
      <c r="AJ40" s="12"/>
    </row>
    <row r="41" spans="1:36" ht="33" customHeight="1" x14ac:dyDescent="0.25">
      <c r="A41" s="1"/>
      <c r="B41" s="67" t="s">
        <v>80</v>
      </c>
      <c r="C41" s="67" t="s">
        <v>81</v>
      </c>
      <c r="D41" s="67" t="s">
        <v>38</v>
      </c>
      <c r="E41" s="68" t="s">
        <v>82</v>
      </c>
      <c r="F41" s="67" t="s">
        <v>53</v>
      </c>
      <c r="G41" s="69">
        <v>36.186</v>
      </c>
      <c r="H41" s="70">
        <v>155.75</v>
      </c>
      <c r="I41" s="70">
        <f>53.15*1.22</f>
        <v>64.843000000000004</v>
      </c>
      <c r="J41" s="70">
        <f>102.6*1.22</f>
        <v>125.172</v>
      </c>
      <c r="K41" s="70">
        <f t="shared" si="5"/>
        <v>190.01499999999999</v>
      </c>
      <c r="L41" s="70">
        <f t="shared" si="6"/>
        <v>2346.4087979999999</v>
      </c>
      <c r="M41" s="70">
        <f t="shared" si="7"/>
        <v>4529.4739920000002</v>
      </c>
      <c r="N41" s="70">
        <f t="shared" si="8"/>
        <v>6875.8827899999997</v>
      </c>
      <c r="O41" s="71">
        <f t="shared" si="4"/>
        <v>3.0700184115700821E-3</v>
      </c>
      <c r="P41" s="12"/>
      <c r="Q41" s="49"/>
      <c r="R41" s="47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12"/>
      <c r="AJ41" s="12"/>
    </row>
    <row r="42" spans="1:36" ht="33" customHeight="1" x14ac:dyDescent="0.25">
      <c r="A42" s="1"/>
      <c r="B42" s="67" t="s">
        <v>83</v>
      </c>
      <c r="C42" s="67" t="s">
        <v>84</v>
      </c>
      <c r="D42" s="67" t="s">
        <v>38</v>
      </c>
      <c r="E42" s="68" t="s">
        <v>85</v>
      </c>
      <c r="F42" s="67" t="s">
        <v>30</v>
      </c>
      <c r="G42" s="69">
        <v>392.1</v>
      </c>
      <c r="H42" s="70">
        <v>87.29</v>
      </c>
      <c r="I42" s="70">
        <f>48.34*1.22</f>
        <v>58.974800000000002</v>
      </c>
      <c r="J42" s="70">
        <f>38.95*1.22</f>
        <v>47.519000000000005</v>
      </c>
      <c r="K42" s="70">
        <f t="shared" si="5"/>
        <v>106.49380000000001</v>
      </c>
      <c r="L42" s="70">
        <f t="shared" si="6"/>
        <v>23124.019080000002</v>
      </c>
      <c r="M42" s="70">
        <f t="shared" si="7"/>
        <v>18632.199900000003</v>
      </c>
      <c r="N42" s="70">
        <f t="shared" si="8"/>
        <v>41756.218980000005</v>
      </c>
      <c r="O42" s="71">
        <f t="shared" si="4"/>
        <v>1.8643767641384146E-2</v>
      </c>
      <c r="P42" s="12"/>
      <c r="Q42" s="49"/>
      <c r="R42" s="47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12"/>
      <c r="AJ42" s="12"/>
    </row>
    <row r="43" spans="1:36" ht="20.100000000000001" customHeight="1" x14ac:dyDescent="0.25">
      <c r="A43" s="1"/>
      <c r="B43" s="67" t="s">
        <v>86</v>
      </c>
      <c r="C43" s="67" t="s">
        <v>87</v>
      </c>
      <c r="D43" s="67" t="s">
        <v>38</v>
      </c>
      <c r="E43" s="68" t="s">
        <v>88</v>
      </c>
      <c r="F43" s="67" t="s">
        <v>89</v>
      </c>
      <c r="G43" s="69">
        <v>440.3</v>
      </c>
      <c r="H43" s="70">
        <v>22.2</v>
      </c>
      <c r="I43" s="70">
        <f>10.22*1.22</f>
        <v>12.468400000000001</v>
      </c>
      <c r="J43" s="70">
        <f>11.98*1.22</f>
        <v>14.615600000000001</v>
      </c>
      <c r="K43" s="70">
        <f t="shared" si="5"/>
        <v>27.084000000000003</v>
      </c>
      <c r="L43" s="70">
        <f t="shared" si="6"/>
        <v>5489.8365200000007</v>
      </c>
      <c r="M43" s="70">
        <f t="shared" si="7"/>
        <v>6435.2486800000006</v>
      </c>
      <c r="N43" s="70">
        <f t="shared" si="8"/>
        <v>11925.085200000001</v>
      </c>
      <c r="O43" s="71">
        <f t="shared" si="4"/>
        <v>5.324440837878492E-3</v>
      </c>
      <c r="P43" s="12"/>
      <c r="Q43" s="49"/>
      <c r="R43" s="47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12"/>
      <c r="AJ43" s="12"/>
    </row>
    <row r="44" spans="1:36" ht="20.100000000000001" customHeight="1" x14ac:dyDescent="0.25">
      <c r="A44" s="1"/>
      <c r="B44" s="67" t="s">
        <v>90</v>
      </c>
      <c r="C44" s="67" t="s">
        <v>91</v>
      </c>
      <c r="D44" s="67" t="s">
        <v>38</v>
      </c>
      <c r="E44" s="68" t="s">
        <v>92</v>
      </c>
      <c r="F44" s="67" t="s">
        <v>89</v>
      </c>
      <c r="G44" s="69">
        <v>139.1</v>
      </c>
      <c r="H44" s="70">
        <v>19.420000000000002</v>
      </c>
      <c r="I44" s="70">
        <f>7.52*1.22</f>
        <v>9.1743999999999986</v>
      </c>
      <c r="J44" s="70">
        <f>11.9*1.22</f>
        <v>14.518000000000001</v>
      </c>
      <c r="K44" s="70">
        <f t="shared" si="5"/>
        <v>23.692399999999999</v>
      </c>
      <c r="L44" s="70">
        <f t="shared" si="6"/>
        <v>1276.1590399999998</v>
      </c>
      <c r="M44" s="70">
        <f t="shared" si="7"/>
        <v>2019.4538</v>
      </c>
      <c r="N44" s="70">
        <f t="shared" si="8"/>
        <v>3295.6128399999998</v>
      </c>
      <c r="O44" s="71">
        <f t="shared" si="4"/>
        <v>1.4714608153183436E-3</v>
      </c>
      <c r="P44" s="12"/>
      <c r="Q44" s="49"/>
      <c r="R44" s="47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12"/>
      <c r="AJ44" s="12"/>
    </row>
    <row r="45" spans="1:36" ht="20.100000000000001" customHeight="1" x14ac:dyDescent="0.25">
      <c r="A45" s="1"/>
      <c r="B45" s="67" t="s">
        <v>93</v>
      </c>
      <c r="C45" s="67" t="s">
        <v>94</v>
      </c>
      <c r="D45" s="67" t="s">
        <v>38</v>
      </c>
      <c r="E45" s="68" t="s">
        <v>95</v>
      </c>
      <c r="F45" s="67" t="s">
        <v>89</v>
      </c>
      <c r="G45" s="69">
        <v>1010.5</v>
      </c>
      <c r="H45" s="70">
        <v>17.079999999999998</v>
      </c>
      <c r="I45" s="70">
        <f>5.51*1.22</f>
        <v>6.7222</v>
      </c>
      <c r="J45" s="70">
        <f>11.57*1.22</f>
        <v>14.115399999999999</v>
      </c>
      <c r="K45" s="70">
        <f t="shared" si="5"/>
        <v>20.837599999999998</v>
      </c>
      <c r="L45" s="70">
        <f t="shared" si="6"/>
        <v>6792.7830999999996</v>
      </c>
      <c r="M45" s="70">
        <f t="shared" si="7"/>
        <v>14263.611699999999</v>
      </c>
      <c r="N45" s="70">
        <f t="shared" si="8"/>
        <v>21056.394799999998</v>
      </c>
      <c r="O45" s="71">
        <f t="shared" si="4"/>
        <v>9.4014865714848132E-3</v>
      </c>
      <c r="P45" s="12"/>
      <c r="Q45" s="49"/>
      <c r="R45" s="47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12"/>
      <c r="AJ45" s="12"/>
    </row>
    <row r="46" spans="1:36" ht="20.100000000000001" customHeight="1" x14ac:dyDescent="0.25">
      <c r="A46" s="1"/>
      <c r="B46" s="67" t="s">
        <v>96</v>
      </c>
      <c r="C46" s="67" t="s">
        <v>97</v>
      </c>
      <c r="D46" s="67" t="s">
        <v>38</v>
      </c>
      <c r="E46" s="68" t="s">
        <v>98</v>
      </c>
      <c r="F46" s="67" t="s">
        <v>89</v>
      </c>
      <c r="G46" s="69">
        <v>650</v>
      </c>
      <c r="H46" s="70">
        <v>14.69</v>
      </c>
      <c r="I46" s="70">
        <f>4.15*1.22</f>
        <v>5.0630000000000006</v>
      </c>
      <c r="J46" s="70">
        <f>10.54*1.22</f>
        <v>12.858799999999999</v>
      </c>
      <c r="K46" s="70">
        <f t="shared" si="5"/>
        <v>17.921799999999998</v>
      </c>
      <c r="L46" s="70">
        <f t="shared" si="6"/>
        <v>3290.9500000000003</v>
      </c>
      <c r="M46" s="70">
        <f t="shared" si="7"/>
        <v>8358.2199999999993</v>
      </c>
      <c r="N46" s="70">
        <f t="shared" si="8"/>
        <v>11649.17</v>
      </c>
      <c r="O46" s="71">
        <f t="shared" si="4"/>
        <v>5.2012472393395551E-3</v>
      </c>
      <c r="P46" s="12"/>
      <c r="Q46" s="49"/>
      <c r="R46" s="47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12"/>
      <c r="AJ46" s="12"/>
    </row>
    <row r="47" spans="1:36" ht="33" customHeight="1" x14ac:dyDescent="0.25">
      <c r="A47" s="1"/>
      <c r="B47" s="67" t="s">
        <v>99</v>
      </c>
      <c r="C47" s="67" t="s">
        <v>100</v>
      </c>
      <c r="D47" s="67" t="s">
        <v>38</v>
      </c>
      <c r="E47" s="68" t="s">
        <v>101</v>
      </c>
      <c r="F47" s="67" t="s">
        <v>89</v>
      </c>
      <c r="G47" s="69">
        <v>724.4</v>
      </c>
      <c r="H47" s="70">
        <v>11.02</v>
      </c>
      <c r="I47" s="70">
        <f>2.29*1.22</f>
        <v>2.7938000000000001</v>
      </c>
      <c r="J47" s="70">
        <f>8.73*1.22</f>
        <v>10.650600000000001</v>
      </c>
      <c r="K47" s="70">
        <f t="shared" si="5"/>
        <v>13.444400000000002</v>
      </c>
      <c r="L47" s="70">
        <f t="shared" si="6"/>
        <v>2023.82872</v>
      </c>
      <c r="M47" s="70">
        <f t="shared" si="7"/>
        <v>7715.2946400000001</v>
      </c>
      <c r="N47" s="70">
        <f t="shared" si="8"/>
        <v>9739.1233599999996</v>
      </c>
      <c r="O47" s="71">
        <f t="shared" si="4"/>
        <v>4.3484289859094995E-3</v>
      </c>
      <c r="P47" s="12"/>
      <c r="Q47" s="49"/>
      <c r="R47" s="47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12"/>
      <c r="AJ47" s="12"/>
    </row>
    <row r="48" spans="1:36" ht="33" customHeight="1" x14ac:dyDescent="0.25">
      <c r="A48" s="1"/>
      <c r="B48" s="67" t="s">
        <v>102</v>
      </c>
      <c r="C48" s="67" t="s">
        <v>103</v>
      </c>
      <c r="D48" s="67" t="s">
        <v>38</v>
      </c>
      <c r="E48" s="68" t="s">
        <v>104</v>
      </c>
      <c r="F48" s="67" t="s">
        <v>89</v>
      </c>
      <c r="G48" s="69">
        <v>655.8</v>
      </c>
      <c r="H48" s="70">
        <v>10.220000000000001</v>
      </c>
      <c r="I48" s="70">
        <f>1.71*1.22</f>
        <v>2.0861999999999998</v>
      </c>
      <c r="J48" s="70">
        <f>8.51*1.22</f>
        <v>10.382199999999999</v>
      </c>
      <c r="K48" s="70">
        <f t="shared" si="5"/>
        <v>12.468399999999999</v>
      </c>
      <c r="L48" s="70">
        <f t="shared" si="6"/>
        <v>1368.1299599999998</v>
      </c>
      <c r="M48" s="70">
        <f t="shared" si="7"/>
        <v>6808.6467599999987</v>
      </c>
      <c r="N48" s="70">
        <f t="shared" si="8"/>
        <v>8176.776719999998</v>
      </c>
      <c r="O48" s="71">
        <f t="shared" si="4"/>
        <v>3.6508555838395294E-3</v>
      </c>
      <c r="P48" s="12"/>
      <c r="Q48" s="49"/>
      <c r="R48" s="47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12"/>
      <c r="AI48" s="12"/>
      <c r="AJ48" s="12"/>
    </row>
    <row r="49" spans="1:36" ht="33" customHeight="1" x14ac:dyDescent="0.25">
      <c r="A49" s="1"/>
      <c r="B49" s="67" t="s">
        <v>105</v>
      </c>
      <c r="C49" s="67" t="s">
        <v>106</v>
      </c>
      <c r="D49" s="67" t="s">
        <v>38</v>
      </c>
      <c r="E49" s="68" t="s">
        <v>107</v>
      </c>
      <c r="F49" s="67" t="s">
        <v>53</v>
      </c>
      <c r="G49" s="69">
        <v>56.9</v>
      </c>
      <c r="H49" s="70">
        <v>633.30999999999995</v>
      </c>
      <c r="I49" s="70">
        <f>18.93*1.22</f>
        <v>23.0946</v>
      </c>
      <c r="J49" s="70">
        <f>614.38*1.22</f>
        <v>749.54359999999997</v>
      </c>
      <c r="K49" s="70">
        <f t="shared" si="5"/>
        <v>772.63819999999998</v>
      </c>
      <c r="L49" s="70">
        <f t="shared" si="6"/>
        <v>1314.0827400000001</v>
      </c>
      <c r="M49" s="70">
        <f t="shared" si="7"/>
        <v>42649.030839999999</v>
      </c>
      <c r="N49" s="70">
        <f t="shared" si="8"/>
        <v>43963.113579999997</v>
      </c>
      <c r="O49" s="71">
        <f t="shared" si="4"/>
        <v>1.9629125778123788E-2</v>
      </c>
      <c r="P49" s="12"/>
      <c r="Q49" s="49"/>
      <c r="R49" s="47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12"/>
      <c r="AI49" s="12"/>
      <c r="AJ49" s="12"/>
    </row>
    <row r="50" spans="1:36" ht="20.100000000000001" customHeight="1" x14ac:dyDescent="0.25">
      <c r="A50" s="1"/>
      <c r="B50" s="67" t="s">
        <v>108</v>
      </c>
      <c r="C50" s="67" t="s">
        <v>109</v>
      </c>
      <c r="D50" s="67" t="s">
        <v>38</v>
      </c>
      <c r="E50" s="68" t="s">
        <v>110</v>
      </c>
      <c r="F50" s="67" t="s">
        <v>53</v>
      </c>
      <c r="G50" s="69">
        <v>167.23500000000001</v>
      </c>
      <c r="H50" s="70">
        <v>1.49</v>
      </c>
      <c r="I50" s="70">
        <f>0.4*1.22</f>
        <v>0.48799999999999999</v>
      </c>
      <c r="J50" s="70">
        <f>1.09*1.22</f>
        <v>1.3298000000000001</v>
      </c>
      <c r="K50" s="70">
        <f t="shared" si="5"/>
        <v>1.8178000000000001</v>
      </c>
      <c r="L50" s="70">
        <f t="shared" si="6"/>
        <v>81.610680000000002</v>
      </c>
      <c r="M50" s="70">
        <f t="shared" si="7"/>
        <v>222.38910300000003</v>
      </c>
      <c r="N50" s="70">
        <f t="shared" si="8"/>
        <v>303.99978300000004</v>
      </c>
      <c r="O50" s="71">
        <f t="shared" si="4"/>
        <v>1.3573310648643414E-4</v>
      </c>
      <c r="P50" s="12"/>
      <c r="Q50" s="49"/>
      <c r="R50" s="66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12"/>
      <c r="AI50" s="12"/>
      <c r="AJ50" s="12"/>
    </row>
    <row r="51" spans="1:36" ht="20.100000000000001" customHeight="1" x14ac:dyDescent="0.25">
      <c r="A51" s="1"/>
      <c r="B51" s="67" t="s">
        <v>111</v>
      </c>
      <c r="C51" s="67" t="s">
        <v>112</v>
      </c>
      <c r="D51" s="67" t="s">
        <v>38</v>
      </c>
      <c r="E51" s="68" t="s">
        <v>113</v>
      </c>
      <c r="F51" s="67" t="s">
        <v>53</v>
      </c>
      <c r="G51" s="69">
        <v>221.86</v>
      </c>
      <c r="H51" s="70">
        <v>93.79</v>
      </c>
      <c r="I51" s="70">
        <f>12.57*1.22</f>
        <v>15.3354</v>
      </c>
      <c r="J51" s="70">
        <f>81.22*1.22</f>
        <v>99.088399999999993</v>
      </c>
      <c r="K51" s="70">
        <f t="shared" si="5"/>
        <v>114.4238</v>
      </c>
      <c r="L51" s="70">
        <f t="shared" si="6"/>
        <v>3402.3118440000003</v>
      </c>
      <c r="M51" s="70">
        <f t="shared" si="7"/>
        <v>21983.752423999998</v>
      </c>
      <c r="N51" s="70">
        <f t="shared" si="8"/>
        <v>25386.064267999998</v>
      </c>
      <c r="O51" s="71">
        <f t="shared" si="4"/>
        <v>1.1334644158479231E-2</v>
      </c>
      <c r="P51" s="12"/>
      <c r="Q51" s="49"/>
      <c r="R51" s="47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12"/>
      <c r="AI51" s="12"/>
      <c r="AJ51" s="12"/>
    </row>
    <row r="52" spans="1:36" ht="20.100000000000001" customHeight="1" x14ac:dyDescent="0.25">
      <c r="A52" s="1"/>
      <c r="B52" s="67" t="s">
        <v>114</v>
      </c>
      <c r="C52" s="67" t="s">
        <v>115</v>
      </c>
      <c r="D52" s="67" t="s">
        <v>38</v>
      </c>
      <c r="E52" s="68" t="s">
        <v>116</v>
      </c>
      <c r="F52" s="67" t="s">
        <v>30</v>
      </c>
      <c r="G52" s="69">
        <v>388.18</v>
      </c>
      <c r="H52" s="70">
        <v>46.5</v>
      </c>
      <c r="I52" s="70">
        <f>12.99*1.22</f>
        <v>15.847799999999999</v>
      </c>
      <c r="J52" s="70">
        <f>33.51*1.22</f>
        <v>40.882199999999997</v>
      </c>
      <c r="K52" s="70">
        <f t="shared" si="5"/>
        <v>56.73</v>
      </c>
      <c r="L52" s="70">
        <f t="shared" si="6"/>
        <v>6151.7990039999995</v>
      </c>
      <c r="M52" s="70">
        <f t="shared" si="7"/>
        <v>15869.652395999999</v>
      </c>
      <c r="N52" s="70">
        <f t="shared" si="8"/>
        <v>22021.451399999998</v>
      </c>
      <c r="O52" s="71">
        <f t="shared" si="4"/>
        <v>9.8323754654194382E-3</v>
      </c>
      <c r="P52" s="12"/>
      <c r="Q52" s="49"/>
      <c r="R52" s="47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12"/>
      <c r="AI52" s="12"/>
      <c r="AJ52" s="12"/>
    </row>
    <row r="53" spans="1:36" ht="33" customHeight="1" x14ac:dyDescent="0.25">
      <c r="A53" s="1"/>
      <c r="B53" s="67" t="s">
        <v>117</v>
      </c>
      <c r="C53" s="67">
        <v>95967</v>
      </c>
      <c r="D53" s="67" t="s">
        <v>38</v>
      </c>
      <c r="E53" s="68" t="s">
        <v>118</v>
      </c>
      <c r="F53" s="67" t="s">
        <v>119</v>
      </c>
      <c r="G53" s="69">
        <f>(56.9/8)*4</f>
        <v>28.45</v>
      </c>
      <c r="H53" s="70">
        <v>172.93</v>
      </c>
      <c r="I53" s="70">
        <f>168.07*1.22</f>
        <v>205.0454</v>
      </c>
      <c r="J53" s="70">
        <f>4.86*1.22</f>
        <v>5.9292000000000007</v>
      </c>
      <c r="K53" s="70">
        <f t="shared" si="5"/>
        <v>210.97460000000001</v>
      </c>
      <c r="L53" s="70">
        <f t="shared" si="6"/>
        <v>5833.5416299999997</v>
      </c>
      <c r="M53" s="70">
        <f t="shared" si="7"/>
        <v>168.68574000000001</v>
      </c>
      <c r="N53" s="70">
        <f t="shared" si="8"/>
        <v>6002.2273699999996</v>
      </c>
      <c r="O53" s="71">
        <f t="shared" si="4"/>
        <v>2.6799393036671983E-3</v>
      </c>
      <c r="P53" s="12"/>
      <c r="Q53" s="49"/>
      <c r="R53" s="47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12"/>
      <c r="AI53" s="12"/>
      <c r="AJ53" s="12"/>
    </row>
    <row r="54" spans="1:36" ht="20.100000000000001" customHeight="1" x14ac:dyDescent="0.25">
      <c r="A54" s="1"/>
      <c r="B54" s="59">
        <v>3</v>
      </c>
      <c r="C54" s="59"/>
      <c r="D54" s="59"/>
      <c r="E54" s="60" t="s">
        <v>120</v>
      </c>
      <c r="F54" s="60"/>
      <c r="G54" s="61"/>
      <c r="H54" s="62"/>
      <c r="I54" s="60"/>
      <c r="J54" s="60"/>
      <c r="K54" s="60"/>
      <c r="L54" s="60"/>
      <c r="M54" s="60"/>
      <c r="N54" s="63">
        <f>N55+N63+N73+N84</f>
        <v>321651.70240799995</v>
      </c>
      <c r="O54" s="64">
        <f>N54/$N$472</f>
        <v>0.1436145261146054</v>
      </c>
      <c r="P54" s="12"/>
      <c r="Q54" s="49"/>
      <c r="R54" s="66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12"/>
      <c r="AI54" s="12"/>
      <c r="AJ54" s="12"/>
    </row>
    <row r="55" spans="1:36" ht="20.100000000000001" customHeight="1" x14ac:dyDescent="0.25">
      <c r="A55" s="72"/>
      <c r="B55" s="59" t="s">
        <v>121</v>
      </c>
      <c r="C55" s="59"/>
      <c r="D55" s="59"/>
      <c r="E55" s="60" t="s">
        <v>122</v>
      </c>
      <c r="F55" s="60"/>
      <c r="G55" s="61"/>
      <c r="H55" s="62"/>
      <c r="I55" s="60"/>
      <c r="J55" s="60"/>
      <c r="K55" s="60"/>
      <c r="L55" s="60"/>
      <c r="M55" s="60"/>
      <c r="N55" s="63">
        <f>SUM(N56:N62)</f>
        <v>59103.948711999998</v>
      </c>
      <c r="O55" s="64">
        <f>N55/$N$472</f>
        <v>2.6389369377591419E-2</v>
      </c>
      <c r="P55" s="12"/>
      <c r="Q55" s="49"/>
      <c r="R55" s="73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24"/>
      <c r="AI55" s="12"/>
      <c r="AJ55" s="12"/>
    </row>
    <row r="56" spans="1:36" ht="33" customHeight="1" x14ac:dyDescent="0.25">
      <c r="A56" s="1"/>
      <c r="B56" s="67" t="s">
        <v>123</v>
      </c>
      <c r="C56" s="67" t="s">
        <v>124</v>
      </c>
      <c r="D56" s="67" t="s">
        <v>38</v>
      </c>
      <c r="E56" s="68" t="s">
        <v>125</v>
      </c>
      <c r="F56" s="67" t="s">
        <v>30</v>
      </c>
      <c r="G56" s="69">
        <v>283</v>
      </c>
      <c r="H56" s="70">
        <v>78.02</v>
      </c>
      <c r="I56" s="70">
        <f>30.12*1.22</f>
        <v>36.746400000000001</v>
      </c>
      <c r="J56" s="70">
        <f>47.9*1.22</f>
        <v>58.437999999999995</v>
      </c>
      <c r="K56" s="70">
        <f t="shared" ref="K56:K62" si="9">I56+J56</f>
        <v>95.184399999999997</v>
      </c>
      <c r="L56" s="70">
        <f t="shared" ref="L56:L62" si="10">G56*I56</f>
        <v>10399.2312</v>
      </c>
      <c r="M56" s="70">
        <f t="shared" ref="M56:M62" si="11">G56*J56</f>
        <v>16537.953999999998</v>
      </c>
      <c r="N56" s="70">
        <f t="shared" ref="N56:N62" si="12">L56+M56</f>
        <v>26937.1852</v>
      </c>
      <c r="O56" s="71">
        <f t="shared" ref="O56:O119" si="13">N56/$N$472</f>
        <v>1.2027205385197255E-2</v>
      </c>
      <c r="P56" s="12"/>
      <c r="Q56" s="49"/>
      <c r="R56" s="47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12"/>
      <c r="AI56" s="12"/>
      <c r="AJ56" s="12"/>
    </row>
    <row r="57" spans="1:36" ht="33" customHeight="1" x14ac:dyDescent="0.25">
      <c r="A57" s="1"/>
      <c r="B57" s="67" t="s">
        <v>126</v>
      </c>
      <c r="C57" s="67" t="s">
        <v>127</v>
      </c>
      <c r="D57" s="67" t="s">
        <v>38</v>
      </c>
      <c r="E57" s="68" t="s">
        <v>128</v>
      </c>
      <c r="F57" s="67" t="s">
        <v>89</v>
      </c>
      <c r="G57" s="69">
        <v>680.7</v>
      </c>
      <c r="H57" s="70">
        <v>10.95</v>
      </c>
      <c r="I57" s="70">
        <f>1.36*1.22</f>
        <v>1.6592</v>
      </c>
      <c r="J57" s="70">
        <f>9.59*1.22</f>
        <v>11.6998</v>
      </c>
      <c r="K57" s="70">
        <f t="shared" si="9"/>
        <v>13.359</v>
      </c>
      <c r="L57" s="70">
        <f t="shared" si="10"/>
        <v>1129.4174400000002</v>
      </c>
      <c r="M57" s="70">
        <f t="shared" si="11"/>
        <v>7964.05386</v>
      </c>
      <c r="N57" s="70">
        <f t="shared" si="12"/>
        <v>9093.4713000000011</v>
      </c>
      <c r="O57" s="71">
        <f t="shared" si="13"/>
        <v>4.0601512807469098E-3</v>
      </c>
      <c r="P57" s="12"/>
      <c r="Q57" s="49"/>
      <c r="R57" s="47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12"/>
      <c r="AI57" s="12"/>
      <c r="AJ57" s="12"/>
    </row>
    <row r="58" spans="1:36" ht="33" customHeight="1" x14ac:dyDescent="0.25">
      <c r="A58" s="1"/>
      <c r="B58" s="67" t="s">
        <v>129</v>
      </c>
      <c r="C58" s="67" t="s">
        <v>130</v>
      </c>
      <c r="D58" s="67" t="s">
        <v>38</v>
      </c>
      <c r="E58" s="68" t="s">
        <v>131</v>
      </c>
      <c r="F58" s="67" t="s">
        <v>89</v>
      </c>
      <c r="G58" s="69">
        <v>214.4</v>
      </c>
      <c r="H58" s="70">
        <v>9.11</v>
      </c>
      <c r="I58" s="70">
        <f>0.084*1.22</f>
        <v>0.10248</v>
      </c>
      <c r="J58" s="70">
        <f>8.27*1.22</f>
        <v>10.089399999999999</v>
      </c>
      <c r="K58" s="70">
        <f t="shared" si="9"/>
        <v>10.191879999999999</v>
      </c>
      <c r="L58" s="70">
        <f t="shared" si="10"/>
        <v>21.971712</v>
      </c>
      <c r="M58" s="70">
        <f t="shared" si="11"/>
        <v>2163.1673599999999</v>
      </c>
      <c r="N58" s="70">
        <f t="shared" si="12"/>
        <v>2185.1390719999999</v>
      </c>
      <c r="O58" s="71">
        <f t="shared" si="13"/>
        <v>9.7564449362598331E-4</v>
      </c>
      <c r="P58" s="12"/>
      <c r="Q58" s="49"/>
      <c r="R58" s="47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12"/>
      <c r="AI58" s="12"/>
      <c r="AJ58" s="12"/>
    </row>
    <row r="59" spans="1:36" ht="33" customHeight="1" x14ac:dyDescent="0.25">
      <c r="A59" s="1"/>
      <c r="B59" s="67" t="s">
        <v>132</v>
      </c>
      <c r="C59" s="67" t="s">
        <v>133</v>
      </c>
      <c r="D59" s="67" t="s">
        <v>38</v>
      </c>
      <c r="E59" s="68" t="s">
        <v>134</v>
      </c>
      <c r="F59" s="67" t="s">
        <v>89</v>
      </c>
      <c r="G59" s="69">
        <v>145</v>
      </c>
      <c r="H59" s="70">
        <v>8.73</v>
      </c>
      <c r="I59" s="70">
        <f>0.6*1.22</f>
        <v>0.73199999999999998</v>
      </c>
      <c r="J59" s="70">
        <f>8.13*1.22</f>
        <v>9.9186000000000014</v>
      </c>
      <c r="K59" s="70">
        <f t="shared" si="9"/>
        <v>10.650600000000001</v>
      </c>
      <c r="L59" s="70">
        <f t="shared" si="10"/>
        <v>106.14</v>
      </c>
      <c r="M59" s="70">
        <f t="shared" si="11"/>
        <v>1438.1970000000001</v>
      </c>
      <c r="N59" s="70">
        <f t="shared" si="12"/>
        <v>1544.3370000000002</v>
      </c>
      <c r="O59" s="71">
        <f t="shared" si="13"/>
        <v>6.8953226348829409E-4</v>
      </c>
      <c r="P59" s="12"/>
      <c r="Q59" s="49"/>
      <c r="R59" s="47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12"/>
      <c r="AI59" s="12"/>
      <c r="AJ59" s="12"/>
    </row>
    <row r="60" spans="1:36" ht="33" customHeight="1" x14ac:dyDescent="0.25">
      <c r="A60" s="1"/>
      <c r="B60" s="67" t="s">
        <v>135</v>
      </c>
      <c r="C60" s="67" t="s">
        <v>136</v>
      </c>
      <c r="D60" s="67" t="s">
        <v>38</v>
      </c>
      <c r="E60" s="68" t="s">
        <v>137</v>
      </c>
      <c r="F60" s="67" t="s">
        <v>89</v>
      </c>
      <c r="G60" s="69">
        <v>403.7</v>
      </c>
      <c r="H60" s="70">
        <v>14.86</v>
      </c>
      <c r="I60" s="70">
        <f>4.74*1.22</f>
        <v>5.7827999999999999</v>
      </c>
      <c r="J60" s="70">
        <f>10.12*1.22</f>
        <v>12.346399999999999</v>
      </c>
      <c r="K60" s="70">
        <f t="shared" si="9"/>
        <v>18.129199999999997</v>
      </c>
      <c r="L60" s="70">
        <f t="shared" si="10"/>
        <v>2334.5163600000001</v>
      </c>
      <c r="M60" s="70">
        <f t="shared" si="11"/>
        <v>4984.2416799999992</v>
      </c>
      <c r="N60" s="70">
        <f t="shared" si="12"/>
        <v>7318.7580399999988</v>
      </c>
      <c r="O60" s="71">
        <f t="shared" si="13"/>
        <v>3.2677581364976361E-3</v>
      </c>
      <c r="P60" s="12"/>
      <c r="Q60" s="49"/>
      <c r="R60" s="47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12"/>
      <c r="AI60" s="12"/>
      <c r="AJ60" s="12"/>
    </row>
    <row r="61" spans="1:36" ht="33" customHeight="1" x14ac:dyDescent="0.25">
      <c r="A61" s="1"/>
      <c r="B61" s="67" t="s">
        <v>138</v>
      </c>
      <c r="C61" s="67">
        <v>94966</v>
      </c>
      <c r="D61" s="67" t="s">
        <v>38</v>
      </c>
      <c r="E61" s="68" t="s">
        <v>139</v>
      </c>
      <c r="F61" s="67" t="s">
        <v>53</v>
      </c>
      <c r="G61" s="69">
        <v>18.600000000000001</v>
      </c>
      <c r="H61" s="70">
        <v>443.46</v>
      </c>
      <c r="I61" s="70">
        <f>78.58*1.22</f>
        <v>95.867599999999996</v>
      </c>
      <c r="J61" s="70">
        <f>364.88*1.22</f>
        <v>445.15359999999998</v>
      </c>
      <c r="K61" s="70">
        <f t="shared" si="9"/>
        <v>541.02120000000002</v>
      </c>
      <c r="L61" s="70">
        <f t="shared" si="10"/>
        <v>1783.1373600000002</v>
      </c>
      <c r="M61" s="70">
        <f t="shared" si="11"/>
        <v>8279.856960000001</v>
      </c>
      <c r="N61" s="70">
        <f t="shared" si="12"/>
        <v>10062.994320000002</v>
      </c>
      <c r="O61" s="71">
        <f t="shared" si="13"/>
        <v>4.4930343901230414E-3</v>
      </c>
      <c r="P61" s="12"/>
      <c r="Q61" s="49"/>
      <c r="R61" s="47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12"/>
      <c r="AI61" s="12"/>
      <c r="AJ61" s="12"/>
    </row>
    <row r="62" spans="1:36" ht="33" customHeight="1" x14ac:dyDescent="0.25">
      <c r="A62" s="75"/>
      <c r="B62" s="67" t="s">
        <v>140</v>
      </c>
      <c r="C62" s="67">
        <v>95967</v>
      </c>
      <c r="D62" s="67" t="s">
        <v>38</v>
      </c>
      <c r="E62" s="68" t="s">
        <v>118</v>
      </c>
      <c r="F62" s="67" t="s">
        <v>119</v>
      </c>
      <c r="G62" s="69">
        <f>(18.6/8)*4</f>
        <v>9.3000000000000007</v>
      </c>
      <c r="H62" s="70">
        <v>172.93</v>
      </c>
      <c r="I62" s="70">
        <f>168.07*1.22</f>
        <v>205.0454</v>
      </c>
      <c r="J62" s="70">
        <f>4.86*1.22</f>
        <v>5.9292000000000007</v>
      </c>
      <c r="K62" s="70">
        <f t="shared" si="9"/>
        <v>210.97460000000001</v>
      </c>
      <c r="L62" s="70">
        <f t="shared" si="10"/>
        <v>1906.9222200000002</v>
      </c>
      <c r="M62" s="70">
        <f t="shared" si="11"/>
        <v>55.141560000000013</v>
      </c>
      <c r="N62" s="70">
        <f t="shared" si="12"/>
        <v>1962.0637800000002</v>
      </c>
      <c r="O62" s="71">
        <f t="shared" si="13"/>
        <v>8.7604342791230039E-4</v>
      </c>
      <c r="P62" s="12"/>
      <c r="Q62" s="49"/>
      <c r="R62" s="47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12"/>
      <c r="AI62" s="12"/>
      <c r="AJ62" s="12"/>
    </row>
    <row r="63" spans="1:36" ht="20.100000000000001" customHeight="1" x14ac:dyDescent="0.25">
      <c r="A63" s="76"/>
      <c r="B63" s="59" t="s">
        <v>141</v>
      </c>
      <c r="C63" s="59"/>
      <c r="D63" s="59"/>
      <c r="E63" s="60" t="s">
        <v>142</v>
      </c>
      <c r="F63" s="60"/>
      <c r="G63" s="61"/>
      <c r="H63" s="62"/>
      <c r="I63" s="60"/>
      <c r="J63" s="60"/>
      <c r="K63" s="60"/>
      <c r="L63" s="60"/>
      <c r="M63" s="60"/>
      <c r="N63" s="63">
        <f>SUM(N64:N72)</f>
        <v>102909.35764999998</v>
      </c>
      <c r="O63" s="64">
        <f>N63/$N$472</f>
        <v>4.5948081483854153E-2</v>
      </c>
      <c r="P63" s="12"/>
      <c r="Q63" s="49"/>
      <c r="R63" s="73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24"/>
      <c r="AI63" s="12"/>
      <c r="AJ63" s="12"/>
    </row>
    <row r="64" spans="1:36" ht="33" customHeight="1" x14ac:dyDescent="0.25">
      <c r="A64" s="75"/>
      <c r="B64" s="67" t="s">
        <v>143</v>
      </c>
      <c r="C64" s="67" t="s">
        <v>144</v>
      </c>
      <c r="D64" s="67" t="s">
        <v>38</v>
      </c>
      <c r="E64" s="68" t="s">
        <v>145</v>
      </c>
      <c r="F64" s="67" t="s">
        <v>30</v>
      </c>
      <c r="G64" s="69">
        <v>292</v>
      </c>
      <c r="H64" s="70">
        <v>139.86000000000001</v>
      </c>
      <c r="I64" s="70">
        <f>54.44*1.22</f>
        <v>66.416799999999995</v>
      </c>
      <c r="J64" s="70">
        <f>85.42*1.22</f>
        <v>104.2124</v>
      </c>
      <c r="K64" s="70">
        <f t="shared" ref="K64:K70" si="14">I64+J64</f>
        <v>170.6292</v>
      </c>
      <c r="L64" s="70">
        <f t="shared" ref="L64:L70" si="15">G64*I64</f>
        <v>19393.705599999998</v>
      </c>
      <c r="M64" s="70">
        <f t="shared" ref="M64:M70" si="16">G64*J64</f>
        <v>30430.020800000002</v>
      </c>
      <c r="N64" s="70">
        <f t="shared" ref="N64:N70" si="17">L64+M64</f>
        <v>49823.7264</v>
      </c>
      <c r="O64" s="71">
        <f t="shared" si="13"/>
        <v>2.2245835487988353E-2</v>
      </c>
      <c r="P64" s="12"/>
      <c r="Q64" s="49"/>
      <c r="R64" s="47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12"/>
      <c r="AI64" s="12"/>
      <c r="AJ64" s="12"/>
    </row>
    <row r="65" spans="1:36" ht="33" customHeight="1" x14ac:dyDescent="0.25">
      <c r="A65" s="1"/>
      <c r="B65" s="67" t="s">
        <v>146</v>
      </c>
      <c r="C65" s="67" t="s">
        <v>147</v>
      </c>
      <c r="D65" s="67" t="s">
        <v>38</v>
      </c>
      <c r="E65" s="68" t="s">
        <v>148</v>
      </c>
      <c r="F65" s="67" t="s">
        <v>89</v>
      </c>
      <c r="G65" s="69">
        <v>403.8</v>
      </c>
      <c r="H65" s="70">
        <v>13.58</v>
      </c>
      <c r="I65" s="70">
        <f>3.14*1.22</f>
        <v>3.8308</v>
      </c>
      <c r="J65" s="70">
        <f>10.44*1.22</f>
        <v>12.736799999999999</v>
      </c>
      <c r="K65" s="70">
        <f t="shared" si="14"/>
        <v>16.567599999999999</v>
      </c>
      <c r="L65" s="70">
        <f t="shared" si="15"/>
        <v>1546.8770400000001</v>
      </c>
      <c r="M65" s="70">
        <f t="shared" si="16"/>
        <v>5143.1198399999994</v>
      </c>
      <c r="N65" s="70">
        <f t="shared" si="17"/>
        <v>6689.9968799999997</v>
      </c>
      <c r="O65" s="71">
        <f t="shared" si="13"/>
        <v>2.9870220627984854E-3</v>
      </c>
      <c r="P65" s="12"/>
      <c r="Q65" s="49"/>
      <c r="R65" s="47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12"/>
      <c r="AI65" s="12"/>
      <c r="AJ65" s="12"/>
    </row>
    <row r="66" spans="1:36" ht="33" customHeight="1" x14ac:dyDescent="0.25">
      <c r="A66" s="1"/>
      <c r="B66" s="67" t="s">
        <v>149</v>
      </c>
      <c r="C66" s="67" t="s">
        <v>150</v>
      </c>
      <c r="D66" s="67" t="s">
        <v>38</v>
      </c>
      <c r="E66" s="68" t="s">
        <v>151</v>
      </c>
      <c r="F66" s="67" t="s">
        <v>89</v>
      </c>
      <c r="G66" s="69">
        <v>143.5</v>
      </c>
      <c r="H66" s="70">
        <v>12.47</v>
      </c>
      <c r="I66" s="70">
        <f>2.05*1.22</f>
        <v>2.5009999999999999</v>
      </c>
      <c r="J66" s="70">
        <f>10.42*1.22</f>
        <v>12.712399999999999</v>
      </c>
      <c r="K66" s="70">
        <f t="shared" si="14"/>
        <v>15.213399999999998</v>
      </c>
      <c r="L66" s="70">
        <f t="shared" si="15"/>
        <v>358.89349999999996</v>
      </c>
      <c r="M66" s="70">
        <f t="shared" si="16"/>
        <v>1824.2293999999999</v>
      </c>
      <c r="N66" s="70">
        <f t="shared" si="17"/>
        <v>2183.1228999999998</v>
      </c>
      <c r="O66" s="71">
        <f t="shared" si="13"/>
        <v>9.7474429137560544E-4</v>
      </c>
      <c r="P66" s="12"/>
      <c r="Q66" s="49"/>
      <c r="R66" s="47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12"/>
      <c r="AI66" s="12"/>
      <c r="AJ66" s="12"/>
    </row>
    <row r="67" spans="1:36" ht="33" customHeight="1" x14ac:dyDescent="0.25">
      <c r="A67" s="1"/>
      <c r="B67" s="67" t="s">
        <v>152</v>
      </c>
      <c r="C67" s="67" t="s">
        <v>127</v>
      </c>
      <c r="D67" s="67" t="s">
        <v>38</v>
      </c>
      <c r="E67" s="68" t="s">
        <v>128</v>
      </c>
      <c r="F67" s="67" t="s">
        <v>89</v>
      </c>
      <c r="G67" s="69">
        <v>541.9</v>
      </c>
      <c r="H67" s="70">
        <v>10.95</v>
      </c>
      <c r="I67" s="70">
        <f>1.36*1.22</f>
        <v>1.6592</v>
      </c>
      <c r="J67" s="70">
        <f>9.59*1.22</f>
        <v>11.6998</v>
      </c>
      <c r="K67" s="70">
        <f t="shared" si="14"/>
        <v>13.359</v>
      </c>
      <c r="L67" s="70">
        <f t="shared" si="15"/>
        <v>899.12047999999993</v>
      </c>
      <c r="M67" s="70">
        <f t="shared" si="16"/>
        <v>6340.1216199999999</v>
      </c>
      <c r="N67" s="70">
        <f t="shared" si="17"/>
        <v>7239.2420999999995</v>
      </c>
      <c r="O67" s="71">
        <f t="shared" si="13"/>
        <v>3.2322550007885266E-3</v>
      </c>
      <c r="P67" s="12"/>
      <c r="Q67" s="49"/>
      <c r="R67" s="47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12"/>
      <c r="AI67" s="12"/>
      <c r="AJ67" s="12"/>
    </row>
    <row r="68" spans="1:36" ht="33" customHeight="1" x14ac:dyDescent="0.25">
      <c r="A68" s="1"/>
      <c r="B68" s="67" t="s">
        <v>153</v>
      </c>
      <c r="C68" s="67" t="s">
        <v>130</v>
      </c>
      <c r="D68" s="67" t="s">
        <v>38</v>
      </c>
      <c r="E68" s="68" t="s">
        <v>131</v>
      </c>
      <c r="F68" s="67" t="s">
        <v>89</v>
      </c>
      <c r="G68" s="69">
        <v>525.5</v>
      </c>
      <c r="H68" s="70">
        <v>9.11</v>
      </c>
      <c r="I68" s="70">
        <f>0.84*1.22</f>
        <v>1.0247999999999999</v>
      </c>
      <c r="J68" s="70">
        <f>8.27*1.22</f>
        <v>10.089399999999999</v>
      </c>
      <c r="K68" s="70">
        <f t="shared" si="14"/>
        <v>11.1142</v>
      </c>
      <c r="L68" s="70">
        <f t="shared" si="15"/>
        <v>538.53239999999994</v>
      </c>
      <c r="M68" s="70">
        <f t="shared" si="16"/>
        <v>5301.9796999999999</v>
      </c>
      <c r="N68" s="70">
        <f t="shared" si="17"/>
        <v>5840.5120999999999</v>
      </c>
      <c r="O68" s="71">
        <f t="shared" si="13"/>
        <v>2.6077349232996225E-3</v>
      </c>
      <c r="P68" s="12"/>
      <c r="Q68" s="49"/>
      <c r="R68" s="47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12"/>
      <c r="AI68" s="12"/>
      <c r="AJ68" s="12"/>
    </row>
    <row r="69" spans="1:36" ht="33" customHeight="1" x14ac:dyDescent="0.25">
      <c r="A69" s="1"/>
      <c r="B69" s="67" t="s">
        <v>154</v>
      </c>
      <c r="C69" s="67" t="s">
        <v>133</v>
      </c>
      <c r="D69" s="67" t="s">
        <v>38</v>
      </c>
      <c r="E69" s="68" t="s">
        <v>134</v>
      </c>
      <c r="F69" s="67" t="s">
        <v>89</v>
      </c>
      <c r="G69" s="69">
        <v>360.3</v>
      </c>
      <c r="H69" s="70">
        <v>8.73</v>
      </c>
      <c r="I69" s="70">
        <f>0.6*1.22</f>
        <v>0.73199999999999998</v>
      </c>
      <c r="J69" s="70">
        <f>8.13*1.22</f>
        <v>9.9186000000000014</v>
      </c>
      <c r="K69" s="70">
        <f t="shared" si="14"/>
        <v>10.650600000000001</v>
      </c>
      <c r="L69" s="70">
        <f t="shared" si="15"/>
        <v>263.7396</v>
      </c>
      <c r="M69" s="70">
        <f t="shared" si="16"/>
        <v>3573.6715800000006</v>
      </c>
      <c r="N69" s="70">
        <f t="shared" si="17"/>
        <v>3837.4111800000005</v>
      </c>
      <c r="O69" s="71">
        <f t="shared" si="13"/>
        <v>1.7133687898953957E-3</v>
      </c>
      <c r="P69" s="12"/>
      <c r="Q69" s="49"/>
      <c r="R69" s="47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12"/>
      <c r="AI69" s="12"/>
      <c r="AJ69" s="12"/>
    </row>
    <row r="70" spans="1:36" ht="33" customHeight="1" x14ac:dyDescent="0.25">
      <c r="A70" s="1"/>
      <c r="B70" s="67" t="s">
        <v>155</v>
      </c>
      <c r="C70" s="67" t="s">
        <v>136</v>
      </c>
      <c r="D70" s="67" t="s">
        <v>38</v>
      </c>
      <c r="E70" s="68" t="s">
        <v>137</v>
      </c>
      <c r="F70" s="67" t="s">
        <v>89</v>
      </c>
      <c r="G70" s="69">
        <v>432.2</v>
      </c>
      <c r="H70" s="70">
        <v>14.86</v>
      </c>
      <c r="I70" s="70">
        <f>4.74*1.22</f>
        <v>5.7827999999999999</v>
      </c>
      <c r="J70" s="70">
        <f>10.12*1.22</f>
        <v>12.346399999999999</v>
      </c>
      <c r="K70" s="70">
        <f t="shared" si="14"/>
        <v>18.129199999999997</v>
      </c>
      <c r="L70" s="70">
        <f t="shared" si="15"/>
        <v>2499.3261600000001</v>
      </c>
      <c r="M70" s="70">
        <f t="shared" si="16"/>
        <v>5336.1140799999994</v>
      </c>
      <c r="N70" s="70">
        <f t="shared" si="17"/>
        <v>7835.4402399999999</v>
      </c>
      <c r="O70" s="71">
        <f t="shared" si="13"/>
        <v>3.498451985618723E-3</v>
      </c>
      <c r="P70" s="12"/>
      <c r="Q70" s="49"/>
      <c r="R70" s="47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12"/>
      <c r="AI70" s="12"/>
      <c r="AJ70" s="12"/>
    </row>
    <row r="71" spans="1:36" ht="33" customHeight="1" x14ac:dyDescent="0.25">
      <c r="A71" s="1"/>
      <c r="B71" s="67" t="s">
        <v>156</v>
      </c>
      <c r="C71" s="67">
        <v>94966</v>
      </c>
      <c r="D71" s="67" t="s">
        <v>38</v>
      </c>
      <c r="E71" s="68" t="s">
        <v>139</v>
      </c>
      <c r="F71" s="67" t="s">
        <v>53</v>
      </c>
      <c r="G71" s="69">
        <v>30.1</v>
      </c>
      <c r="H71" s="70">
        <v>443.46</v>
      </c>
      <c r="I71" s="70">
        <f>78.58*1.22</f>
        <v>95.867599999999996</v>
      </c>
      <c r="J71" s="70">
        <f>364.88*1.22</f>
        <v>445.15359999999998</v>
      </c>
      <c r="K71" s="70">
        <f>I71+J71</f>
        <v>541.02120000000002</v>
      </c>
      <c r="L71" s="70">
        <f>G71*I71</f>
        <v>2885.6147599999999</v>
      </c>
      <c r="M71" s="70">
        <f>G71*J71</f>
        <v>13399.12336</v>
      </c>
      <c r="N71" s="70">
        <f>L71+M71</f>
        <v>16284.73812</v>
      </c>
      <c r="O71" s="71">
        <f t="shared" si="13"/>
        <v>7.2709857603604046E-3</v>
      </c>
      <c r="P71" s="12"/>
      <c r="Q71" s="49"/>
      <c r="R71" s="47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12"/>
      <c r="AI71" s="12"/>
      <c r="AJ71" s="12"/>
    </row>
    <row r="72" spans="1:36" ht="33" customHeight="1" x14ac:dyDescent="0.25">
      <c r="A72" s="1"/>
      <c r="B72" s="67" t="s">
        <v>157</v>
      </c>
      <c r="C72" s="67">
        <v>95967</v>
      </c>
      <c r="D72" s="67" t="s">
        <v>38</v>
      </c>
      <c r="E72" s="68" t="s">
        <v>118</v>
      </c>
      <c r="F72" s="67" t="s">
        <v>119</v>
      </c>
      <c r="G72" s="69">
        <f>(30.1/8)*4</f>
        <v>15.05</v>
      </c>
      <c r="H72" s="70">
        <v>172.93</v>
      </c>
      <c r="I72" s="70">
        <f>168.07*1.22</f>
        <v>205.0454</v>
      </c>
      <c r="J72" s="70">
        <f>4.86*1.22</f>
        <v>5.9292000000000007</v>
      </c>
      <c r="K72" s="70">
        <f t="shared" ref="K72" si="18">I72+J72</f>
        <v>210.97460000000001</v>
      </c>
      <c r="L72" s="70">
        <f t="shared" ref="L72" si="19">G72*I72</f>
        <v>3085.93327</v>
      </c>
      <c r="M72" s="70">
        <f t="shared" ref="M72" si="20">G72*J72</f>
        <v>89.234460000000013</v>
      </c>
      <c r="N72" s="70">
        <f t="shared" ref="N72" si="21">L72+M72</f>
        <v>3175.1677300000001</v>
      </c>
      <c r="O72" s="71">
        <f t="shared" si="13"/>
        <v>1.4176831817290453E-3</v>
      </c>
      <c r="P72" s="12"/>
      <c r="Q72" s="49"/>
      <c r="R72" s="66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12"/>
      <c r="AI72" s="12"/>
      <c r="AJ72" s="12"/>
    </row>
    <row r="73" spans="1:36" ht="20.100000000000001" customHeight="1" x14ac:dyDescent="0.25">
      <c r="A73" s="1"/>
      <c r="B73" s="59" t="s">
        <v>158</v>
      </c>
      <c r="C73" s="59"/>
      <c r="D73" s="59"/>
      <c r="E73" s="60" t="s">
        <v>159</v>
      </c>
      <c r="F73" s="60"/>
      <c r="G73" s="61"/>
      <c r="H73" s="62"/>
      <c r="I73" s="60"/>
      <c r="J73" s="60"/>
      <c r="K73" s="60"/>
      <c r="L73" s="60"/>
      <c r="M73" s="60"/>
      <c r="N73" s="63">
        <f>SUM(N74:N83)</f>
        <v>157777.81979599997</v>
      </c>
      <c r="O73" s="64">
        <f>N73/$N$472</f>
        <v>7.0446345073765654E-2</v>
      </c>
      <c r="P73" s="12"/>
      <c r="Q73" s="49"/>
      <c r="R73" s="47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12"/>
      <c r="AI73" s="12"/>
      <c r="AJ73" s="12"/>
    </row>
    <row r="74" spans="1:36" ht="33" customHeight="1" x14ac:dyDescent="0.25">
      <c r="A74" s="1"/>
      <c r="B74" s="67" t="s">
        <v>160</v>
      </c>
      <c r="C74" s="67" t="s">
        <v>161</v>
      </c>
      <c r="D74" s="67" t="s">
        <v>38</v>
      </c>
      <c r="E74" s="68" t="s">
        <v>162</v>
      </c>
      <c r="F74" s="67" t="s">
        <v>30</v>
      </c>
      <c r="G74" s="69">
        <v>56.6</v>
      </c>
      <c r="H74" s="70">
        <v>89.6</v>
      </c>
      <c r="I74" s="70">
        <f>29.89*1.22</f>
        <v>36.465800000000002</v>
      </c>
      <c r="J74" s="70">
        <f>59.71*1.22</f>
        <v>72.846199999999996</v>
      </c>
      <c r="K74" s="70">
        <f t="shared" ref="K74:K80" si="22">I74+J74</f>
        <v>109.312</v>
      </c>
      <c r="L74" s="70">
        <f t="shared" ref="L74:L80" si="23">G74*I74</f>
        <v>2063.9642800000001</v>
      </c>
      <c r="M74" s="70">
        <f t="shared" ref="M74:M80" si="24">G74*J74</f>
        <v>4123.0949199999995</v>
      </c>
      <c r="N74" s="70">
        <f t="shared" ref="N74:N80" si="25">L74+M74</f>
        <v>6187.0591999999997</v>
      </c>
      <c r="O74" s="71">
        <f t="shared" si="13"/>
        <v>2.7624650154157242E-3</v>
      </c>
      <c r="P74" s="12"/>
      <c r="Q74" s="49"/>
      <c r="R74" s="66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12"/>
      <c r="AI74" s="12"/>
      <c r="AJ74" s="12"/>
    </row>
    <row r="75" spans="1:36" ht="33" customHeight="1" x14ac:dyDescent="0.25">
      <c r="A75" s="1"/>
      <c r="B75" s="67" t="s">
        <v>163</v>
      </c>
      <c r="C75" s="67" t="s">
        <v>164</v>
      </c>
      <c r="D75" s="67" t="s">
        <v>38</v>
      </c>
      <c r="E75" s="68" t="s">
        <v>165</v>
      </c>
      <c r="F75" s="67" t="s">
        <v>89</v>
      </c>
      <c r="G75" s="69">
        <v>395.6</v>
      </c>
      <c r="H75" s="70">
        <v>14.15</v>
      </c>
      <c r="I75" s="70">
        <f>4.07*1.22</f>
        <v>4.9653999999999998</v>
      </c>
      <c r="J75" s="70">
        <f>10.08*1.22</f>
        <v>12.297599999999999</v>
      </c>
      <c r="K75" s="70">
        <f t="shared" si="22"/>
        <v>17.262999999999998</v>
      </c>
      <c r="L75" s="70">
        <f t="shared" si="23"/>
        <v>1964.31224</v>
      </c>
      <c r="M75" s="70">
        <f t="shared" si="24"/>
        <v>4864.9305599999998</v>
      </c>
      <c r="N75" s="70">
        <f t="shared" si="25"/>
        <v>6829.2428</v>
      </c>
      <c r="O75" s="71">
        <f t="shared" si="13"/>
        <v>3.0491940850961513E-3</v>
      </c>
      <c r="P75" s="12"/>
      <c r="Q75" s="49"/>
      <c r="R75" s="47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12"/>
      <c r="AI75" s="12"/>
      <c r="AJ75" s="12"/>
    </row>
    <row r="76" spans="1:36" ht="33" customHeight="1" x14ac:dyDescent="0.25">
      <c r="A76" s="1"/>
      <c r="B76" s="67" t="s">
        <v>166</v>
      </c>
      <c r="C76" s="67" t="s">
        <v>167</v>
      </c>
      <c r="D76" s="67" t="s">
        <v>38</v>
      </c>
      <c r="E76" s="68" t="s">
        <v>168</v>
      </c>
      <c r="F76" s="67" t="s">
        <v>89</v>
      </c>
      <c r="G76" s="69">
        <v>213.2</v>
      </c>
      <c r="H76" s="70">
        <v>12.92</v>
      </c>
      <c r="I76" s="70">
        <f>2.59*1.22</f>
        <v>3.1597999999999997</v>
      </c>
      <c r="J76" s="70">
        <f>10.33*1.22</f>
        <v>12.602600000000001</v>
      </c>
      <c r="K76" s="70">
        <f t="shared" si="22"/>
        <v>15.7624</v>
      </c>
      <c r="L76" s="70">
        <f t="shared" si="23"/>
        <v>673.66935999999987</v>
      </c>
      <c r="M76" s="70">
        <f t="shared" si="24"/>
        <v>2686.8743199999999</v>
      </c>
      <c r="N76" s="70">
        <f t="shared" si="25"/>
        <v>3360.5436799999998</v>
      </c>
      <c r="O76" s="71">
        <f t="shared" si="13"/>
        <v>1.5004518380519803E-3</v>
      </c>
      <c r="P76" s="12"/>
      <c r="Q76" s="49"/>
      <c r="R76" s="66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12"/>
      <c r="AI76" s="12"/>
      <c r="AJ76" s="12"/>
    </row>
    <row r="77" spans="1:36" ht="33" customHeight="1" x14ac:dyDescent="0.25">
      <c r="A77" s="1"/>
      <c r="B77" s="67" t="s">
        <v>169</v>
      </c>
      <c r="C77" s="67" t="s">
        <v>170</v>
      </c>
      <c r="D77" s="67" t="s">
        <v>38</v>
      </c>
      <c r="E77" s="68" t="s">
        <v>171</v>
      </c>
      <c r="F77" s="67" t="s">
        <v>89</v>
      </c>
      <c r="G77" s="69">
        <v>202.8</v>
      </c>
      <c r="H77" s="70">
        <v>11.85</v>
      </c>
      <c r="I77" s="70">
        <f>1.6*1.22</f>
        <v>1.952</v>
      </c>
      <c r="J77" s="70">
        <f>10.25*1.22</f>
        <v>12.504999999999999</v>
      </c>
      <c r="K77" s="70">
        <f t="shared" si="22"/>
        <v>14.456999999999999</v>
      </c>
      <c r="L77" s="70">
        <f t="shared" si="23"/>
        <v>395.86560000000003</v>
      </c>
      <c r="M77" s="70">
        <f t="shared" si="24"/>
        <v>2536.0140000000001</v>
      </c>
      <c r="N77" s="70">
        <f t="shared" si="25"/>
        <v>2931.8796000000002</v>
      </c>
      <c r="O77" s="71">
        <f t="shared" si="13"/>
        <v>1.3090572697948403E-3</v>
      </c>
      <c r="P77" s="12"/>
      <c r="Q77" s="49"/>
      <c r="R77" s="47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12"/>
      <c r="AI77" s="12"/>
      <c r="AJ77" s="12"/>
    </row>
    <row r="78" spans="1:36" ht="33" customHeight="1" x14ac:dyDescent="0.25">
      <c r="A78" s="1"/>
      <c r="B78" s="67" t="s">
        <v>172</v>
      </c>
      <c r="C78" s="67" t="s">
        <v>173</v>
      </c>
      <c r="D78" s="67" t="s">
        <v>38</v>
      </c>
      <c r="E78" s="68" t="s">
        <v>174</v>
      </c>
      <c r="F78" s="67" t="s">
        <v>89</v>
      </c>
      <c r="G78" s="69">
        <v>12.3</v>
      </c>
      <c r="H78" s="70">
        <v>10.4</v>
      </c>
      <c r="I78" s="70">
        <f>0.39*1.22</f>
        <v>0.4758</v>
      </c>
      <c r="J78" s="70">
        <f>8.02*1.22</f>
        <v>9.7843999999999998</v>
      </c>
      <c r="K78" s="70">
        <f t="shared" si="22"/>
        <v>10.260199999999999</v>
      </c>
      <c r="L78" s="70">
        <f t="shared" si="23"/>
        <v>5.8523400000000008</v>
      </c>
      <c r="M78" s="70">
        <f t="shared" si="24"/>
        <v>120.34812000000001</v>
      </c>
      <c r="N78" s="70">
        <f t="shared" si="25"/>
        <v>126.20046000000001</v>
      </c>
      <c r="O78" s="71">
        <f t="shared" si="13"/>
        <v>5.634734441839049E-5</v>
      </c>
      <c r="P78" s="12"/>
      <c r="Q78" s="49"/>
      <c r="R78" s="66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12"/>
      <c r="AI78" s="12"/>
      <c r="AJ78" s="12"/>
    </row>
    <row r="79" spans="1:36" ht="33" customHeight="1" x14ac:dyDescent="0.25">
      <c r="A79" s="1"/>
      <c r="B79" s="67" t="s">
        <v>175</v>
      </c>
      <c r="C79" s="67">
        <v>94966</v>
      </c>
      <c r="D79" s="67" t="s">
        <v>38</v>
      </c>
      <c r="E79" s="68" t="s">
        <v>139</v>
      </c>
      <c r="F79" s="67" t="s">
        <v>53</v>
      </c>
      <c r="G79" s="69">
        <v>32.799999999999997</v>
      </c>
      <c r="H79" s="70">
        <v>443.46</v>
      </c>
      <c r="I79" s="70">
        <f>78.58*1.22</f>
        <v>95.867599999999996</v>
      </c>
      <c r="J79" s="70">
        <f>364.88*1.22</f>
        <v>445.15359999999998</v>
      </c>
      <c r="K79" s="70">
        <f t="shared" si="22"/>
        <v>541.02120000000002</v>
      </c>
      <c r="L79" s="70">
        <f t="shared" si="23"/>
        <v>3144.4572799999996</v>
      </c>
      <c r="M79" s="70">
        <f t="shared" si="24"/>
        <v>14601.038079999998</v>
      </c>
      <c r="N79" s="70">
        <f t="shared" si="25"/>
        <v>17745.495359999997</v>
      </c>
      <c r="O79" s="71">
        <f t="shared" si="13"/>
        <v>7.9232004298943927E-3</v>
      </c>
      <c r="P79" s="12"/>
      <c r="Q79" s="49"/>
      <c r="R79" s="47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12"/>
      <c r="AI79" s="12"/>
      <c r="AJ79" s="12"/>
    </row>
    <row r="80" spans="1:36" ht="33" customHeight="1" x14ac:dyDescent="0.25">
      <c r="A80" s="1"/>
      <c r="B80" s="67" t="s">
        <v>176</v>
      </c>
      <c r="C80" s="67">
        <v>95967</v>
      </c>
      <c r="D80" s="67" t="s">
        <v>38</v>
      </c>
      <c r="E80" s="68" t="s">
        <v>118</v>
      </c>
      <c r="F80" s="67" t="s">
        <v>119</v>
      </c>
      <c r="G80" s="69">
        <f>(32.8/8)*4</f>
        <v>16.399999999999999</v>
      </c>
      <c r="H80" s="70">
        <v>172.93</v>
      </c>
      <c r="I80" s="70">
        <f>168.07*1.22</f>
        <v>205.0454</v>
      </c>
      <c r="J80" s="70">
        <f>4.86*1.22</f>
        <v>5.9292000000000007</v>
      </c>
      <c r="K80" s="70">
        <f t="shared" si="22"/>
        <v>210.97460000000001</v>
      </c>
      <c r="L80" s="70">
        <f t="shared" si="23"/>
        <v>3362.7445599999996</v>
      </c>
      <c r="M80" s="70">
        <f t="shared" si="24"/>
        <v>97.238880000000009</v>
      </c>
      <c r="N80" s="70">
        <f t="shared" si="25"/>
        <v>3459.9834399999995</v>
      </c>
      <c r="O80" s="71">
        <f t="shared" si="13"/>
        <v>1.5448507761034111E-3</v>
      </c>
      <c r="P80" s="12"/>
      <c r="Q80" s="49"/>
      <c r="R80" s="47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12"/>
      <c r="AI80" s="12"/>
      <c r="AJ80" s="12"/>
    </row>
    <row r="81" spans="1:36" ht="33" customHeight="1" x14ac:dyDescent="0.25">
      <c r="A81" s="1"/>
      <c r="B81" s="67" t="s">
        <v>177</v>
      </c>
      <c r="C81" s="67" t="s">
        <v>178</v>
      </c>
      <c r="D81" s="67" t="s">
        <v>24</v>
      </c>
      <c r="E81" s="68" t="s">
        <v>179</v>
      </c>
      <c r="F81" s="67" t="s">
        <v>30</v>
      </c>
      <c r="G81" s="69">
        <v>93.94</v>
      </c>
      <c r="H81" s="70">
        <v>179.46</v>
      </c>
      <c r="I81" s="70">
        <f>38.03*1.22</f>
        <v>46.396599999999999</v>
      </c>
      <c r="J81" s="70">
        <f>141.43*1.22</f>
        <v>172.5446</v>
      </c>
      <c r="K81" s="70">
        <f>I81+J81</f>
        <v>218.94120000000001</v>
      </c>
      <c r="L81" s="70">
        <f>G81*I81</f>
        <v>4358.4966039999999</v>
      </c>
      <c r="M81" s="70">
        <f>G81*J81</f>
        <v>16208.839723999999</v>
      </c>
      <c r="N81" s="70">
        <f>L81+M81</f>
        <v>20567.336327999998</v>
      </c>
      <c r="O81" s="71">
        <f t="shared" si="13"/>
        <v>9.183126462793326E-3</v>
      </c>
      <c r="P81" s="12"/>
      <c r="Q81" s="49"/>
      <c r="R81" s="66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12"/>
      <c r="AI81" s="12"/>
      <c r="AJ81" s="12"/>
    </row>
    <row r="82" spans="1:36" ht="33" customHeight="1" x14ac:dyDescent="0.25">
      <c r="A82" s="1"/>
      <c r="B82" s="67" t="s">
        <v>180</v>
      </c>
      <c r="C82" s="67" t="s">
        <v>181</v>
      </c>
      <c r="D82" s="67" t="s">
        <v>24</v>
      </c>
      <c r="E82" s="68" t="s">
        <v>182</v>
      </c>
      <c r="F82" s="67" t="s">
        <v>30</v>
      </c>
      <c r="G82" s="69">
        <v>358.88</v>
      </c>
      <c r="H82" s="70">
        <v>201.47</v>
      </c>
      <c r="I82" s="70">
        <f>38.03*1.22</f>
        <v>46.396599999999999</v>
      </c>
      <c r="J82" s="70">
        <f>163.44*1.22</f>
        <v>199.39679999999998</v>
      </c>
      <c r="K82" s="70">
        <f>I82+J82</f>
        <v>245.79339999999999</v>
      </c>
      <c r="L82" s="70">
        <f>G82*I82</f>
        <v>16650.811807999999</v>
      </c>
      <c r="M82" s="70">
        <f>G82*J82</f>
        <v>71559.523583999995</v>
      </c>
      <c r="N82" s="70">
        <f>L82+M82</f>
        <v>88210.335391999994</v>
      </c>
      <c r="O82" s="71">
        <f t="shared" si="13"/>
        <v>3.9385103268203332E-2</v>
      </c>
      <c r="P82" s="12"/>
      <c r="Q82" s="49"/>
      <c r="R82" s="47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12"/>
      <c r="AI82" s="12"/>
      <c r="AJ82" s="12"/>
    </row>
    <row r="83" spans="1:36" ht="33" customHeight="1" x14ac:dyDescent="0.25">
      <c r="A83" s="1"/>
      <c r="B83" s="67" t="s">
        <v>183</v>
      </c>
      <c r="C83" s="67" t="s">
        <v>184</v>
      </c>
      <c r="D83" s="67" t="s">
        <v>38</v>
      </c>
      <c r="E83" s="68" t="s">
        <v>185</v>
      </c>
      <c r="F83" s="67" t="s">
        <v>30</v>
      </c>
      <c r="G83" s="69">
        <v>28.18</v>
      </c>
      <c r="H83" s="70">
        <v>243.16</v>
      </c>
      <c r="I83" s="70">
        <f>41.48*1.22</f>
        <v>50.605599999999995</v>
      </c>
      <c r="J83" s="70">
        <f>201.68*1.22</f>
        <v>246.0496</v>
      </c>
      <c r="K83" s="70">
        <f>I83+J83</f>
        <v>296.65519999999998</v>
      </c>
      <c r="L83" s="70">
        <f>G83*I83</f>
        <v>1426.0658079999998</v>
      </c>
      <c r="M83" s="70">
        <f>G83*J83</f>
        <v>6933.6777279999997</v>
      </c>
      <c r="N83" s="70">
        <f>L83+M83</f>
        <v>8359.7435359999999</v>
      </c>
      <c r="O83" s="71">
        <f t="shared" si="13"/>
        <v>3.7325485839941118E-3</v>
      </c>
      <c r="P83" s="12"/>
      <c r="Q83" s="49"/>
      <c r="R83" s="47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12"/>
      <c r="AI83" s="12"/>
      <c r="AJ83" s="12"/>
    </row>
    <row r="84" spans="1:36" ht="20.100000000000001" customHeight="1" x14ac:dyDescent="0.25">
      <c r="A84" s="1"/>
      <c r="B84" s="59" t="s">
        <v>186</v>
      </c>
      <c r="C84" s="59"/>
      <c r="D84" s="59"/>
      <c r="E84" s="60" t="s">
        <v>187</v>
      </c>
      <c r="F84" s="60"/>
      <c r="G84" s="61"/>
      <c r="H84" s="62"/>
      <c r="I84" s="60"/>
      <c r="J84" s="60"/>
      <c r="K84" s="60"/>
      <c r="L84" s="60"/>
      <c r="M84" s="60"/>
      <c r="N84" s="63">
        <f>SUM(N85)</f>
        <v>1860.5762499999998</v>
      </c>
      <c r="O84" s="64">
        <f>N84/$N$472</f>
        <v>8.3073017939417487E-4</v>
      </c>
      <c r="P84" s="12"/>
      <c r="Q84" s="49"/>
      <c r="R84" s="66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12"/>
      <c r="AI84" s="12"/>
      <c r="AJ84" s="12"/>
    </row>
    <row r="85" spans="1:36" ht="33" customHeight="1" x14ac:dyDescent="0.25">
      <c r="A85" s="1"/>
      <c r="B85" s="67" t="s">
        <v>188</v>
      </c>
      <c r="C85" s="67" t="s">
        <v>189</v>
      </c>
      <c r="D85" s="67" t="s">
        <v>38</v>
      </c>
      <c r="E85" s="68" t="s">
        <v>190</v>
      </c>
      <c r="F85" s="67" t="s">
        <v>30</v>
      </c>
      <c r="G85" s="69">
        <v>6.25</v>
      </c>
      <c r="H85" s="70">
        <v>244.06</v>
      </c>
      <c r="I85" s="70">
        <f>31.06*1.22</f>
        <v>37.8932</v>
      </c>
      <c r="J85" s="70">
        <f>212.95*1.22</f>
        <v>259.79899999999998</v>
      </c>
      <c r="K85" s="70">
        <f>I85+J85</f>
        <v>297.69219999999996</v>
      </c>
      <c r="L85" s="70">
        <f>G85*I85</f>
        <v>236.83250000000001</v>
      </c>
      <c r="M85" s="70">
        <f>G85*J85</f>
        <v>1623.7437499999999</v>
      </c>
      <c r="N85" s="70">
        <f>L85+M85</f>
        <v>1860.5762499999998</v>
      </c>
      <c r="O85" s="71">
        <f t="shared" si="13"/>
        <v>8.3073017939417487E-4</v>
      </c>
      <c r="P85" s="12"/>
      <c r="Q85" s="49"/>
      <c r="R85" s="47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12"/>
      <c r="AI85" s="12"/>
      <c r="AJ85" s="12"/>
    </row>
    <row r="86" spans="1:36" ht="20.100000000000001" customHeight="1" x14ac:dyDescent="0.25">
      <c r="A86" s="1"/>
      <c r="B86" s="59">
        <v>4</v>
      </c>
      <c r="C86" s="59"/>
      <c r="D86" s="59"/>
      <c r="E86" s="60" t="s">
        <v>191</v>
      </c>
      <c r="F86" s="60"/>
      <c r="G86" s="61"/>
      <c r="H86" s="62"/>
      <c r="I86" s="60"/>
      <c r="J86" s="60"/>
      <c r="K86" s="60"/>
      <c r="L86" s="60"/>
      <c r="M86" s="60"/>
      <c r="N86" s="63">
        <f>N87+N94+N99</f>
        <v>173231.12213320003</v>
      </c>
      <c r="O86" s="64">
        <f>N86/$N$472</f>
        <v>7.7346102405836628E-2</v>
      </c>
      <c r="P86" s="12"/>
      <c r="Q86" s="49"/>
      <c r="R86" s="66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12"/>
      <c r="AI86" s="12"/>
      <c r="AJ86" s="12"/>
    </row>
    <row r="87" spans="1:36" ht="20.100000000000001" customHeight="1" x14ac:dyDescent="0.25">
      <c r="A87" s="1"/>
      <c r="B87" s="59" t="s">
        <v>192</v>
      </c>
      <c r="C87" s="59"/>
      <c r="D87" s="59"/>
      <c r="E87" s="60" t="s">
        <v>193</v>
      </c>
      <c r="F87" s="60"/>
      <c r="G87" s="61"/>
      <c r="H87" s="62"/>
      <c r="I87" s="60"/>
      <c r="J87" s="60"/>
      <c r="K87" s="60"/>
      <c r="L87" s="60"/>
      <c r="M87" s="60"/>
      <c r="N87" s="63">
        <f>SUM(N88:N93)</f>
        <v>119718.99791520003</v>
      </c>
      <c r="O87" s="64">
        <f>N87/$N$472</f>
        <v>5.34534312232487E-2</v>
      </c>
      <c r="P87" s="12"/>
      <c r="Q87" s="49"/>
      <c r="R87" s="47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12"/>
      <c r="AI87" s="12"/>
      <c r="AJ87" s="12"/>
    </row>
    <row r="88" spans="1:36" ht="33" customHeight="1" x14ac:dyDescent="0.25">
      <c r="A88" s="1"/>
      <c r="B88" s="67" t="s">
        <v>194</v>
      </c>
      <c r="C88" s="67" t="s">
        <v>195</v>
      </c>
      <c r="D88" s="67" t="s">
        <v>38</v>
      </c>
      <c r="E88" s="68" t="s">
        <v>196</v>
      </c>
      <c r="F88" s="67" t="s">
        <v>30</v>
      </c>
      <c r="G88" s="69">
        <v>12.85</v>
      </c>
      <c r="H88" s="70">
        <v>62.42</v>
      </c>
      <c r="I88" s="70">
        <f>22.05*1.22</f>
        <v>26.901</v>
      </c>
      <c r="J88" s="70">
        <f>40.37*1.22</f>
        <v>49.251399999999997</v>
      </c>
      <c r="K88" s="70">
        <f t="shared" ref="K88:K93" si="26">I88+J88</f>
        <v>76.1524</v>
      </c>
      <c r="L88" s="70">
        <f t="shared" ref="L88:L93" si="27">G88*I88</f>
        <v>345.67784999999998</v>
      </c>
      <c r="M88" s="70">
        <f t="shared" ref="M88:M93" si="28">G88*J88</f>
        <v>632.8804899999999</v>
      </c>
      <c r="N88" s="70">
        <f t="shared" ref="N88:N93" si="29">L88+M88</f>
        <v>978.55833999999982</v>
      </c>
      <c r="O88" s="71">
        <f t="shared" si="13"/>
        <v>4.3691729663638667E-4</v>
      </c>
      <c r="P88" s="12"/>
      <c r="Q88" s="49"/>
      <c r="R88" s="66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12"/>
      <c r="AI88" s="12"/>
      <c r="AJ88" s="12"/>
    </row>
    <row r="89" spans="1:36" ht="33" customHeight="1" x14ac:dyDescent="0.25">
      <c r="A89" s="1"/>
      <c r="B89" s="67" t="s">
        <v>197</v>
      </c>
      <c r="C89" s="67" t="s">
        <v>198</v>
      </c>
      <c r="D89" s="67" t="s">
        <v>38</v>
      </c>
      <c r="E89" s="68" t="s">
        <v>199</v>
      </c>
      <c r="F89" s="67" t="s">
        <v>30</v>
      </c>
      <c r="G89" s="69">
        <v>713.84</v>
      </c>
      <c r="H89" s="70">
        <v>84.31</v>
      </c>
      <c r="I89" s="70">
        <f>31.86*1.22</f>
        <v>38.869199999999999</v>
      </c>
      <c r="J89" s="70">
        <f>52.45*1.22</f>
        <v>63.989000000000004</v>
      </c>
      <c r="K89" s="70">
        <f t="shared" si="26"/>
        <v>102.85820000000001</v>
      </c>
      <c r="L89" s="70">
        <f t="shared" si="27"/>
        <v>27746.389728000002</v>
      </c>
      <c r="M89" s="70">
        <f t="shared" si="28"/>
        <v>45677.907760000002</v>
      </c>
      <c r="N89" s="70">
        <f t="shared" si="29"/>
        <v>73424.297488000011</v>
      </c>
      <c r="O89" s="71">
        <f t="shared" si="13"/>
        <v>3.2783273367107381E-2</v>
      </c>
      <c r="P89" s="12"/>
      <c r="Q89" s="49"/>
      <c r="R89" s="47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12"/>
      <c r="AI89" s="12"/>
      <c r="AJ89" s="12"/>
    </row>
    <row r="90" spans="1:36" ht="33" customHeight="1" x14ac:dyDescent="0.25">
      <c r="A90" s="1"/>
      <c r="B90" s="67" t="s">
        <v>200</v>
      </c>
      <c r="C90" s="67">
        <v>101162</v>
      </c>
      <c r="D90" s="67" t="s">
        <v>38</v>
      </c>
      <c r="E90" s="68" t="s">
        <v>201</v>
      </c>
      <c r="F90" s="67" t="s">
        <v>30</v>
      </c>
      <c r="G90" s="69">
        <v>120.962</v>
      </c>
      <c r="H90" s="70">
        <v>175.28</v>
      </c>
      <c r="I90" s="70">
        <f>80.89*1.22</f>
        <v>98.6858</v>
      </c>
      <c r="J90" s="70">
        <f>94.39*1.22</f>
        <v>115.1558</v>
      </c>
      <c r="K90" s="70">
        <f t="shared" si="26"/>
        <v>213.8416</v>
      </c>
      <c r="L90" s="70">
        <f t="shared" si="27"/>
        <v>11937.2317396</v>
      </c>
      <c r="M90" s="70">
        <f t="shared" si="28"/>
        <v>13929.475879600001</v>
      </c>
      <c r="N90" s="70">
        <f t="shared" si="29"/>
        <v>25866.707619200002</v>
      </c>
      <c r="O90" s="71">
        <f t="shared" si="13"/>
        <v>1.1549246993147791E-2</v>
      </c>
      <c r="P90" s="12"/>
      <c r="Q90" s="49"/>
      <c r="R90" s="66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12"/>
      <c r="AI90" s="12"/>
      <c r="AJ90" s="12"/>
    </row>
    <row r="91" spans="1:36" ht="20.100000000000001" customHeight="1" x14ac:dyDescent="0.25">
      <c r="A91" s="1"/>
      <c r="B91" s="67" t="s">
        <v>202</v>
      </c>
      <c r="C91" s="67" t="s">
        <v>203</v>
      </c>
      <c r="D91" s="67" t="s">
        <v>38</v>
      </c>
      <c r="E91" s="68" t="s">
        <v>204</v>
      </c>
      <c r="F91" s="67" t="s">
        <v>73</v>
      </c>
      <c r="G91" s="69">
        <v>103.5</v>
      </c>
      <c r="H91" s="70">
        <v>71.08</v>
      </c>
      <c r="I91" s="70">
        <f>20.5*1.22</f>
        <v>25.009999999999998</v>
      </c>
      <c r="J91" s="70">
        <f>50.58*1.22</f>
        <v>61.707599999999999</v>
      </c>
      <c r="K91" s="70">
        <f t="shared" si="26"/>
        <v>86.717600000000004</v>
      </c>
      <c r="L91" s="70">
        <f t="shared" si="27"/>
        <v>2588.5349999999999</v>
      </c>
      <c r="M91" s="70">
        <f t="shared" si="28"/>
        <v>6386.7366000000002</v>
      </c>
      <c r="N91" s="70">
        <f t="shared" si="29"/>
        <v>8975.2716</v>
      </c>
      <c r="O91" s="71">
        <f t="shared" si="13"/>
        <v>4.0073762020661312E-3</v>
      </c>
      <c r="P91" s="12"/>
      <c r="Q91" s="49"/>
      <c r="R91" s="47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12"/>
      <c r="AI91" s="12"/>
      <c r="AJ91" s="12"/>
    </row>
    <row r="92" spans="1:36" ht="20.100000000000001" customHeight="1" x14ac:dyDescent="0.25">
      <c r="A92" s="1"/>
      <c r="B92" s="67" t="s">
        <v>205</v>
      </c>
      <c r="C92" s="67" t="s">
        <v>206</v>
      </c>
      <c r="D92" s="67" t="s">
        <v>38</v>
      </c>
      <c r="E92" s="68" t="s">
        <v>207</v>
      </c>
      <c r="F92" s="67" t="s">
        <v>73</v>
      </c>
      <c r="G92" s="69">
        <v>69.2</v>
      </c>
      <c r="H92" s="70">
        <v>48.94</v>
      </c>
      <c r="I92" s="70">
        <f>13.68*1.22</f>
        <v>16.689599999999999</v>
      </c>
      <c r="J92" s="70">
        <f>35.26*1.22</f>
        <v>43.017199999999995</v>
      </c>
      <c r="K92" s="70">
        <f t="shared" si="26"/>
        <v>59.706799999999994</v>
      </c>
      <c r="L92" s="70">
        <f t="shared" si="27"/>
        <v>1154.9203199999999</v>
      </c>
      <c r="M92" s="70">
        <f t="shared" si="28"/>
        <v>2976.7902399999998</v>
      </c>
      <c r="N92" s="70">
        <f t="shared" si="29"/>
        <v>4131.7105599999995</v>
      </c>
      <c r="O92" s="71">
        <f t="shared" si="13"/>
        <v>1.8447707556804548E-3</v>
      </c>
      <c r="P92" s="12"/>
      <c r="Q92" s="49"/>
      <c r="R92" s="47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12"/>
      <c r="AI92" s="12"/>
      <c r="AJ92" s="12"/>
    </row>
    <row r="93" spans="1:36" ht="20.100000000000001" customHeight="1" x14ac:dyDescent="0.25">
      <c r="A93" s="1"/>
      <c r="B93" s="67" t="s">
        <v>208</v>
      </c>
      <c r="C93" s="67">
        <v>93200</v>
      </c>
      <c r="D93" s="67" t="s">
        <v>38</v>
      </c>
      <c r="E93" s="68" t="s">
        <v>209</v>
      </c>
      <c r="F93" s="67" t="s">
        <v>73</v>
      </c>
      <c r="G93" s="69">
        <v>389.71</v>
      </c>
      <c r="H93" s="70">
        <v>13.34</v>
      </c>
      <c r="I93" s="70">
        <f>11.41*1.22</f>
        <v>13.920199999999999</v>
      </c>
      <c r="J93" s="70">
        <f>1.93*1.22</f>
        <v>2.3546</v>
      </c>
      <c r="K93" s="70">
        <f t="shared" si="26"/>
        <v>16.274799999999999</v>
      </c>
      <c r="L93" s="70">
        <f t="shared" si="27"/>
        <v>5424.8411419999993</v>
      </c>
      <c r="M93" s="70">
        <f t="shared" si="28"/>
        <v>917.61116599999991</v>
      </c>
      <c r="N93" s="70">
        <f t="shared" si="29"/>
        <v>6342.452307999999</v>
      </c>
      <c r="O93" s="71">
        <f t="shared" si="13"/>
        <v>2.831846608610552E-3</v>
      </c>
      <c r="P93" s="77"/>
      <c r="Q93" s="49"/>
      <c r="R93" s="66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12"/>
      <c r="AI93" s="12"/>
      <c r="AJ93" s="12"/>
    </row>
    <row r="94" spans="1:36" ht="20.100000000000001" customHeight="1" x14ac:dyDescent="0.25">
      <c r="A94" s="1"/>
      <c r="B94" s="59" t="s">
        <v>210</v>
      </c>
      <c r="C94" s="59"/>
      <c r="D94" s="59"/>
      <c r="E94" s="60" t="s">
        <v>211</v>
      </c>
      <c r="F94" s="60"/>
      <c r="G94" s="61"/>
      <c r="H94" s="62"/>
      <c r="I94" s="60"/>
      <c r="J94" s="60"/>
      <c r="K94" s="60"/>
      <c r="L94" s="60"/>
      <c r="M94" s="60"/>
      <c r="N94" s="63">
        <f>SUM(N95:N98)</f>
        <v>53448.495117999999</v>
      </c>
      <c r="O94" s="64">
        <f>N94/$N$472</f>
        <v>2.3864261374789034E-2</v>
      </c>
      <c r="P94" s="12"/>
      <c r="Q94" s="49"/>
      <c r="R94" s="47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12"/>
      <c r="AI94" s="12"/>
      <c r="AJ94" s="12"/>
    </row>
    <row r="95" spans="1:36" ht="48" customHeight="1" x14ac:dyDescent="0.25">
      <c r="A95" s="1"/>
      <c r="B95" s="67" t="s">
        <v>212</v>
      </c>
      <c r="C95" s="67" t="s">
        <v>213</v>
      </c>
      <c r="D95" s="67" t="s">
        <v>38</v>
      </c>
      <c r="E95" s="68" t="s">
        <v>214</v>
      </c>
      <c r="F95" s="67" t="s">
        <v>30</v>
      </c>
      <c r="G95" s="69">
        <v>36.94</v>
      </c>
      <c r="H95" s="70">
        <v>98.49</v>
      </c>
      <c r="I95" s="70">
        <f>16.88*1.22</f>
        <v>20.593599999999999</v>
      </c>
      <c r="J95" s="70">
        <f>81.61*1.22</f>
        <v>99.5642</v>
      </c>
      <c r="K95" s="70">
        <f>I95+J95</f>
        <v>120.15779999999999</v>
      </c>
      <c r="L95" s="70">
        <f>G95*I95</f>
        <v>760.72758399999987</v>
      </c>
      <c r="M95" s="70">
        <f>G95*J95</f>
        <v>3677.9015479999998</v>
      </c>
      <c r="N95" s="70">
        <f>L95+M95</f>
        <v>4438.629132</v>
      </c>
      <c r="O95" s="71">
        <f t="shared" si="13"/>
        <v>1.9818070746042099E-3</v>
      </c>
      <c r="P95" s="12"/>
      <c r="Q95" s="49"/>
      <c r="R95" s="47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12"/>
      <c r="AI95" s="12"/>
      <c r="AJ95" s="12"/>
    </row>
    <row r="96" spans="1:36" ht="48" customHeight="1" x14ac:dyDescent="0.25">
      <c r="A96" s="1"/>
      <c r="B96" s="67" t="s">
        <v>215</v>
      </c>
      <c r="C96" s="67">
        <v>96361</v>
      </c>
      <c r="D96" s="67" t="s">
        <v>38</v>
      </c>
      <c r="E96" s="68" t="s">
        <v>216</v>
      </c>
      <c r="F96" s="67" t="s">
        <v>30</v>
      </c>
      <c r="G96" s="69">
        <v>180.09</v>
      </c>
      <c r="H96" s="70">
        <v>130.68</v>
      </c>
      <c r="I96" s="70">
        <f>20.58*1.22</f>
        <v>25.107599999999998</v>
      </c>
      <c r="J96" s="70">
        <f>110.1*1.22</f>
        <v>134.322</v>
      </c>
      <c r="K96" s="70">
        <f>I96+J96</f>
        <v>159.42959999999999</v>
      </c>
      <c r="L96" s="70">
        <f>G96*I96</f>
        <v>4521.627684</v>
      </c>
      <c r="M96" s="70">
        <f>G96*J96</f>
        <v>24190.04898</v>
      </c>
      <c r="N96" s="70">
        <f>L96+M96</f>
        <v>28711.676663999999</v>
      </c>
      <c r="O96" s="71">
        <f t="shared" si="13"/>
        <v>1.2819499499572923E-2</v>
      </c>
      <c r="P96" s="12"/>
      <c r="Q96" s="49"/>
      <c r="R96" s="66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12"/>
      <c r="AI96" s="12"/>
      <c r="AJ96" s="12"/>
    </row>
    <row r="97" spans="1:36" ht="48" customHeight="1" x14ac:dyDescent="0.25">
      <c r="A97" s="1"/>
      <c r="B97" s="67" t="s">
        <v>217</v>
      </c>
      <c r="C97" s="67" t="s">
        <v>213</v>
      </c>
      <c r="D97" s="67" t="s">
        <v>38</v>
      </c>
      <c r="E97" s="68" t="s">
        <v>214</v>
      </c>
      <c r="F97" s="67" t="s">
        <v>30</v>
      </c>
      <c r="G97" s="69">
        <v>84.45</v>
      </c>
      <c r="H97" s="70">
        <v>98.49</v>
      </c>
      <c r="I97" s="70">
        <f>16.88*1.22</f>
        <v>20.593599999999999</v>
      </c>
      <c r="J97" s="70">
        <f>81.61*1.22</f>
        <v>99.5642</v>
      </c>
      <c r="K97" s="70">
        <f>I97+J97</f>
        <v>120.15779999999999</v>
      </c>
      <c r="L97" s="70">
        <f>G97*I97</f>
        <v>1739.12952</v>
      </c>
      <c r="M97" s="70">
        <f>G97*J97</f>
        <v>8408.1966900000007</v>
      </c>
      <c r="N97" s="70">
        <f>L97+M97</f>
        <v>10147.326210000001</v>
      </c>
      <c r="O97" s="71">
        <f t="shared" si="13"/>
        <v>4.5306878032031822E-3</v>
      </c>
      <c r="P97" s="12"/>
      <c r="Q97" s="49"/>
      <c r="R97" s="47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12"/>
      <c r="AI97" s="12"/>
      <c r="AJ97" s="12"/>
    </row>
    <row r="98" spans="1:36" ht="48" customHeight="1" x14ac:dyDescent="0.25">
      <c r="A98" s="1"/>
      <c r="B98" s="67" t="s">
        <v>218</v>
      </c>
      <c r="C98" s="67">
        <v>96363</v>
      </c>
      <c r="D98" s="67" t="s">
        <v>38</v>
      </c>
      <c r="E98" s="68" t="s">
        <v>219</v>
      </c>
      <c r="F98" s="67" t="s">
        <v>30</v>
      </c>
      <c r="G98" s="69">
        <v>66.040000000000006</v>
      </c>
      <c r="H98" s="70">
        <v>125.99</v>
      </c>
      <c r="I98" s="70">
        <f>20.02*1.22</f>
        <v>24.424399999999999</v>
      </c>
      <c r="J98" s="70">
        <f>105.97*1.22</f>
        <v>129.2834</v>
      </c>
      <c r="K98" s="70">
        <f>I98+J98</f>
        <v>153.70779999999999</v>
      </c>
      <c r="L98" s="70">
        <f>G98*I98</f>
        <v>1612.987376</v>
      </c>
      <c r="M98" s="70">
        <f>G98*J98</f>
        <v>8537.875736</v>
      </c>
      <c r="N98" s="70">
        <f>L98+M98</f>
        <v>10150.863111999999</v>
      </c>
      <c r="O98" s="71">
        <f t="shared" si="13"/>
        <v>4.5322669974087182E-3</v>
      </c>
      <c r="P98" s="12"/>
      <c r="Q98" s="49"/>
      <c r="R98" s="66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12"/>
      <c r="AI98" s="12"/>
      <c r="AJ98" s="12"/>
    </row>
    <row r="99" spans="1:36" ht="20.100000000000001" customHeight="1" x14ac:dyDescent="0.25">
      <c r="A99" s="1"/>
      <c r="B99" s="59" t="s">
        <v>220</v>
      </c>
      <c r="C99" s="59"/>
      <c r="D99" s="59"/>
      <c r="E99" s="60" t="s">
        <v>221</v>
      </c>
      <c r="F99" s="60"/>
      <c r="G99" s="61"/>
      <c r="H99" s="62"/>
      <c r="I99" s="60"/>
      <c r="J99" s="60"/>
      <c r="K99" s="60"/>
      <c r="L99" s="60"/>
      <c r="M99" s="60"/>
      <c r="N99" s="63">
        <f>SUM(N100)</f>
        <v>63.629100000000001</v>
      </c>
      <c r="O99" s="64">
        <f>N99/$N$472</f>
        <v>2.8409807798895583E-5</v>
      </c>
      <c r="P99" s="12"/>
      <c r="Q99" s="49"/>
      <c r="R99" s="47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12"/>
      <c r="AI99" s="12"/>
      <c r="AJ99" s="12"/>
    </row>
    <row r="100" spans="1:36" ht="33" customHeight="1" x14ac:dyDescent="0.25">
      <c r="A100" s="1"/>
      <c r="B100" s="67" t="s">
        <v>222</v>
      </c>
      <c r="C100" s="67" t="s">
        <v>223</v>
      </c>
      <c r="D100" s="67" t="s">
        <v>38</v>
      </c>
      <c r="E100" s="68" t="s">
        <v>224</v>
      </c>
      <c r="F100" s="67" t="s">
        <v>30</v>
      </c>
      <c r="G100" s="69">
        <v>0.15</v>
      </c>
      <c r="H100" s="70">
        <v>347.7</v>
      </c>
      <c r="I100" s="70">
        <f>77.64*1.22</f>
        <v>94.720799999999997</v>
      </c>
      <c r="J100" s="70">
        <f>270.06*1.22</f>
        <v>329.47320000000002</v>
      </c>
      <c r="K100" s="70">
        <f>I100+J100</f>
        <v>424.19400000000002</v>
      </c>
      <c r="L100" s="70">
        <f>G100*I100</f>
        <v>14.208119999999999</v>
      </c>
      <c r="M100" s="70">
        <f>G100*J100</f>
        <v>49.42098</v>
      </c>
      <c r="N100" s="70">
        <f>L100+M100</f>
        <v>63.629100000000001</v>
      </c>
      <c r="O100" s="71">
        <f t="shared" si="13"/>
        <v>2.8409807798895583E-5</v>
      </c>
      <c r="P100" s="12"/>
      <c r="Q100" s="49"/>
      <c r="R100" s="47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12"/>
      <c r="AI100" s="12"/>
      <c r="AJ100" s="12"/>
    </row>
    <row r="101" spans="1:36" ht="20.100000000000001" customHeight="1" x14ac:dyDescent="0.25">
      <c r="A101" s="1"/>
      <c r="B101" s="59">
        <v>5</v>
      </c>
      <c r="C101" s="59"/>
      <c r="D101" s="59"/>
      <c r="E101" s="60" t="s">
        <v>225</v>
      </c>
      <c r="F101" s="60"/>
      <c r="G101" s="61"/>
      <c r="H101" s="62"/>
      <c r="I101" s="60"/>
      <c r="J101" s="60"/>
      <c r="K101" s="60"/>
      <c r="L101" s="60"/>
      <c r="M101" s="60"/>
      <c r="N101" s="63">
        <f>N102+N106+N109</f>
        <v>86276.38593605264</v>
      </c>
      <c r="O101" s="64">
        <f>N101/$N$472</f>
        <v>3.8521612627344937E-2</v>
      </c>
      <c r="P101" s="12"/>
      <c r="Q101" s="49"/>
      <c r="R101" s="47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12"/>
      <c r="AI101" s="12"/>
      <c r="AJ101" s="12"/>
    </row>
    <row r="102" spans="1:36" ht="20.100000000000001" customHeight="1" x14ac:dyDescent="0.25">
      <c r="A102" s="1"/>
      <c r="B102" s="59" t="s">
        <v>226</v>
      </c>
      <c r="C102" s="59"/>
      <c r="D102" s="59"/>
      <c r="E102" s="60" t="s">
        <v>120</v>
      </c>
      <c r="F102" s="60"/>
      <c r="G102" s="61"/>
      <c r="H102" s="62"/>
      <c r="I102" s="60"/>
      <c r="J102" s="60"/>
      <c r="K102" s="60"/>
      <c r="L102" s="60"/>
      <c r="M102" s="60"/>
      <c r="N102" s="63">
        <f>SUM(N103:N105)</f>
        <v>33639.07491805264</v>
      </c>
      <c r="O102" s="64">
        <f>N102/$N$472</f>
        <v>1.5019537490778979E-2</v>
      </c>
      <c r="P102" s="12"/>
      <c r="Q102" s="49"/>
      <c r="R102" s="47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12"/>
      <c r="AI102" s="12"/>
      <c r="AJ102" s="12"/>
    </row>
    <row r="103" spans="1:36" ht="48" customHeight="1" x14ac:dyDescent="0.25">
      <c r="A103" s="1"/>
      <c r="B103" s="67" t="s">
        <v>227</v>
      </c>
      <c r="C103" s="67" t="s">
        <v>228</v>
      </c>
      <c r="D103" s="67" t="s">
        <v>38</v>
      </c>
      <c r="E103" s="68" t="s">
        <v>229</v>
      </c>
      <c r="F103" s="67" t="s">
        <v>89</v>
      </c>
      <c r="G103" s="69">
        <v>391.45660720000001</v>
      </c>
      <c r="H103" s="70">
        <v>19.71</v>
      </c>
      <c r="I103" s="70">
        <f>1.28*1.22</f>
        <v>1.5616000000000001</v>
      </c>
      <c r="J103" s="70">
        <f>18.43*1.22</f>
        <v>22.4846</v>
      </c>
      <c r="K103" s="70">
        <f>I103+J103</f>
        <v>24.046199999999999</v>
      </c>
      <c r="L103" s="70">
        <f>G103*I103</f>
        <v>611.29863780352002</v>
      </c>
      <c r="M103" s="70">
        <f>G103*J103</f>
        <v>8801.7452302491201</v>
      </c>
      <c r="N103" s="70">
        <f>L103+M103</f>
        <v>9413.0438680526404</v>
      </c>
      <c r="O103" s="71">
        <f t="shared" si="13"/>
        <v>4.202837492498686E-3</v>
      </c>
      <c r="P103" s="12"/>
      <c r="Q103" s="49"/>
      <c r="R103" s="47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12"/>
      <c r="AI103" s="12"/>
      <c r="AJ103" s="12"/>
    </row>
    <row r="104" spans="1:36" ht="48" customHeight="1" x14ac:dyDescent="0.25">
      <c r="A104" s="1"/>
      <c r="B104" s="67" t="s">
        <v>230</v>
      </c>
      <c r="C104" s="67" t="s">
        <v>231</v>
      </c>
      <c r="D104" s="67" t="s">
        <v>38</v>
      </c>
      <c r="E104" s="68" t="s">
        <v>232</v>
      </c>
      <c r="F104" s="67" t="s">
        <v>30</v>
      </c>
      <c r="G104" s="69">
        <v>359.41</v>
      </c>
      <c r="H104" s="70">
        <v>28.51</v>
      </c>
      <c r="I104" s="70">
        <f>5.52*1.22</f>
        <v>6.7343999999999991</v>
      </c>
      <c r="J104" s="70">
        <f>22.99*1.22</f>
        <v>28.047799999999999</v>
      </c>
      <c r="K104" s="70">
        <f>I104+J104</f>
        <v>34.782199999999996</v>
      </c>
      <c r="L104" s="70">
        <f>G104*I104</f>
        <v>2420.4107039999999</v>
      </c>
      <c r="M104" s="70">
        <f>G104*J104</f>
        <v>10080.659798000001</v>
      </c>
      <c r="N104" s="70">
        <f>L104+M104</f>
        <v>12501.070502</v>
      </c>
      <c r="O104" s="71">
        <f t="shared" si="13"/>
        <v>5.5816129764881661E-3</v>
      </c>
      <c r="P104" s="12"/>
      <c r="Q104" s="49"/>
      <c r="R104" s="47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12"/>
      <c r="AI104" s="12"/>
      <c r="AJ104" s="12"/>
    </row>
    <row r="105" spans="1:36" ht="33" customHeight="1" x14ac:dyDescent="0.25">
      <c r="A105" s="1"/>
      <c r="B105" s="67" t="s">
        <v>233</v>
      </c>
      <c r="C105" s="67" t="s">
        <v>234</v>
      </c>
      <c r="D105" s="67" t="s">
        <v>38</v>
      </c>
      <c r="E105" s="68" t="s">
        <v>235</v>
      </c>
      <c r="F105" s="67" t="s">
        <v>30</v>
      </c>
      <c r="G105" s="69">
        <v>359.41</v>
      </c>
      <c r="H105" s="70">
        <v>26.74</v>
      </c>
      <c r="I105" s="70">
        <f>4.67*1.22</f>
        <v>5.6974</v>
      </c>
      <c r="J105" s="70">
        <f>22.07*1.22</f>
        <v>26.9254</v>
      </c>
      <c r="K105" s="70">
        <f>I105+J105</f>
        <v>32.622799999999998</v>
      </c>
      <c r="L105" s="70">
        <f>G105*I105</f>
        <v>2047.7025340000002</v>
      </c>
      <c r="M105" s="70">
        <f>G105*J105</f>
        <v>9677.2580140000009</v>
      </c>
      <c r="N105" s="70">
        <f>L105+M105</f>
        <v>11724.960548000001</v>
      </c>
      <c r="O105" s="71">
        <f t="shared" si="13"/>
        <v>5.2350870217921274E-3</v>
      </c>
      <c r="P105" s="12"/>
      <c r="Q105" s="49"/>
      <c r="R105" s="47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12"/>
      <c r="AI105" s="12"/>
      <c r="AJ105" s="12"/>
    </row>
    <row r="106" spans="1:36" ht="20.100000000000001" customHeight="1" x14ac:dyDescent="0.25">
      <c r="A106" s="1"/>
      <c r="B106" s="59" t="s">
        <v>236</v>
      </c>
      <c r="C106" s="59"/>
      <c r="D106" s="59"/>
      <c r="E106" s="60" t="s">
        <v>237</v>
      </c>
      <c r="F106" s="60"/>
      <c r="G106" s="61"/>
      <c r="H106" s="62"/>
      <c r="I106" s="60"/>
      <c r="J106" s="60"/>
      <c r="K106" s="60"/>
      <c r="L106" s="60"/>
      <c r="M106" s="60"/>
      <c r="N106" s="63">
        <f>SUM(N107:N108)</f>
        <v>30841.153967999999</v>
      </c>
      <c r="O106" s="64">
        <f>N106/$N$472</f>
        <v>1.3770291525843142E-2</v>
      </c>
      <c r="P106" s="12"/>
      <c r="Q106" s="49"/>
      <c r="R106" s="47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12"/>
      <c r="AI106" s="12"/>
      <c r="AJ106" s="12"/>
    </row>
    <row r="107" spans="1:36" ht="33" customHeight="1" x14ac:dyDescent="0.25">
      <c r="A107" s="1"/>
      <c r="B107" s="67" t="s">
        <v>238</v>
      </c>
      <c r="C107" s="67" t="s">
        <v>239</v>
      </c>
      <c r="D107" s="67" t="s">
        <v>38</v>
      </c>
      <c r="E107" s="68" t="s">
        <v>240</v>
      </c>
      <c r="F107" s="67" t="s">
        <v>30</v>
      </c>
      <c r="G107" s="69">
        <v>359.41</v>
      </c>
      <c r="H107" s="70">
        <v>45.78</v>
      </c>
      <c r="I107" s="70">
        <f>6.94*1.22</f>
        <v>8.466800000000001</v>
      </c>
      <c r="J107" s="70">
        <f>41.7*1.22</f>
        <v>50.874000000000002</v>
      </c>
      <c r="K107" s="70">
        <f>I107+J107</f>
        <v>59.340800000000002</v>
      </c>
      <c r="L107" s="70">
        <f>G107*I107</f>
        <v>3043.0525880000005</v>
      </c>
      <c r="M107" s="70">
        <f>G107*J107</f>
        <v>18284.624340000002</v>
      </c>
      <c r="N107" s="70">
        <f>L107+M107</f>
        <v>21327.676928000001</v>
      </c>
      <c r="O107" s="71">
        <f t="shared" si="13"/>
        <v>9.5226115459973483E-3</v>
      </c>
      <c r="P107" s="12"/>
      <c r="Q107" s="49"/>
      <c r="R107" s="47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12"/>
      <c r="AI107" s="12"/>
      <c r="AJ107" s="12"/>
    </row>
    <row r="108" spans="1:36" ht="20.100000000000001" customHeight="1" x14ac:dyDescent="0.25">
      <c r="A108" s="1"/>
      <c r="B108" s="67" t="s">
        <v>241</v>
      </c>
      <c r="C108" s="67" t="s">
        <v>242</v>
      </c>
      <c r="D108" s="67" t="s">
        <v>24</v>
      </c>
      <c r="E108" s="68" t="s">
        <v>243</v>
      </c>
      <c r="F108" s="67" t="s">
        <v>30</v>
      </c>
      <c r="G108" s="69">
        <v>31.6</v>
      </c>
      <c r="H108" s="70">
        <v>246.77</v>
      </c>
      <c r="I108" s="70">
        <f>87.24*1.22</f>
        <v>106.43279999999999</v>
      </c>
      <c r="J108" s="70">
        <f>159.53*1.22</f>
        <v>194.6266</v>
      </c>
      <c r="K108" s="70">
        <f>I108+J108</f>
        <v>301.05939999999998</v>
      </c>
      <c r="L108" s="70">
        <f>G108*I108</f>
        <v>3363.2764799999995</v>
      </c>
      <c r="M108" s="70">
        <f>G108*J108</f>
        <v>6150.2005600000002</v>
      </c>
      <c r="N108" s="70">
        <f>L108+M108</f>
        <v>9513.4770399999998</v>
      </c>
      <c r="O108" s="71">
        <f t="shared" si="13"/>
        <v>4.2476799798457946E-3</v>
      </c>
      <c r="P108" s="12"/>
      <c r="Q108" s="49"/>
      <c r="R108" s="47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12"/>
      <c r="AI108" s="12"/>
      <c r="AJ108" s="12"/>
    </row>
    <row r="109" spans="1:36" ht="20.100000000000001" customHeight="1" x14ac:dyDescent="0.25">
      <c r="A109" s="1"/>
      <c r="B109" s="59" t="s">
        <v>244</v>
      </c>
      <c r="C109" s="59"/>
      <c r="D109" s="59"/>
      <c r="E109" s="60" t="s">
        <v>245</v>
      </c>
      <c r="F109" s="60"/>
      <c r="G109" s="61"/>
      <c r="H109" s="62"/>
      <c r="I109" s="60"/>
      <c r="J109" s="60"/>
      <c r="K109" s="60"/>
      <c r="L109" s="60"/>
      <c r="M109" s="60"/>
      <c r="N109" s="63">
        <f>SUM(N110:N112)</f>
        <v>21796.157050000002</v>
      </c>
      <c r="O109" s="64">
        <f>N109/$N$472</f>
        <v>9.7317836107228134E-3</v>
      </c>
      <c r="P109" s="12"/>
      <c r="Q109" s="49"/>
      <c r="R109" s="47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12"/>
      <c r="AI109" s="12"/>
      <c r="AJ109" s="12"/>
    </row>
    <row r="110" spans="1:36" ht="33" customHeight="1" x14ac:dyDescent="0.25">
      <c r="A110" s="1"/>
      <c r="B110" s="67" t="s">
        <v>246</v>
      </c>
      <c r="C110" s="67" t="s">
        <v>247</v>
      </c>
      <c r="D110" s="67" t="s">
        <v>38</v>
      </c>
      <c r="E110" s="68" t="s">
        <v>248</v>
      </c>
      <c r="F110" s="67" t="s">
        <v>73</v>
      </c>
      <c r="G110" s="69">
        <v>76</v>
      </c>
      <c r="H110" s="70">
        <v>172.71</v>
      </c>
      <c r="I110" s="70">
        <f>27.39*1.22</f>
        <v>33.415799999999997</v>
      </c>
      <c r="J110" s="70">
        <f>145.32*1.22</f>
        <v>177.29039999999998</v>
      </c>
      <c r="K110" s="70">
        <f>I110+J110</f>
        <v>210.70619999999997</v>
      </c>
      <c r="L110" s="70">
        <f>G110*I110</f>
        <v>2539.6007999999997</v>
      </c>
      <c r="M110" s="70">
        <f>G110*J110</f>
        <v>13474.070399999999</v>
      </c>
      <c r="N110" s="70">
        <f>L110+M110</f>
        <v>16013.671199999999</v>
      </c>
      <c r="O110" s="71">
        <f t="shared" si="13"/>
        <v>7.1499568742400812E-3</v>
      </c>
      <c r="P110" s="12"/>
      <c r="Q110" s="49"/>
      <c r="R110" s="47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12"/>
      <c r="AI110" s="12"/>
      <c r="AJ110" s="12"/>
    </row>
    <row r="111" spans="1:36" ht="33" customHeight="1" x14ac:dyDescent="0.25">
      <c r="A111" s="1"/>
      <c r="B111" s="67" t="s">
        <v>249</v>
      </c>
      <c r="C111" s="67" t="s">
        <v>250</v>
      </c>
      <c r="D111" s="67" t="s">
        <v>38</v>
      </c>
      <c r="E111" s="68" t="s">
        <v>251</v>
      </c>
      <c r="F111" s="67" t="s">
        <v>73</v>
      </c>
      <c r="G111" s="69">
        <v>49.85</v>
      </c>
      <c r="H111" s="70">
        <v>52.86</v>
      </c>
      <c r="I111" s="70">
        <f>7.79*1.22</f>
        <v>9.5038</v>
      </c>
      <c r="J111" s="70">
        <f>45.07*1.22</f>
        <v>54.985399999999998</v>
      </c>
      <c r="K111" s="70">
        <f>I111+J111</f>
        <v>64.489199999999997</v>
      </c>
      <c r="L111" s="70">
        <f>G111*I111</f>
        <v>473.76443</v>
      </c>
      <c r="M111" s="70">
        <f>G111*J111</f>
        <v>2741.0221900000001</v>
      </c>
      <c r="N111" s="70">
        <f>L111+M111</f>
        <v>3214.7866200000003</v>
      </c>
      <c r="O111" s="71">
        <f t="shared" si="13"/>
        <v>1.4353726516430562E-3</v>
      </c>
      <c r="P111" s="12"/>
      <c r="Q111" s="49"/>
      <c r="R111" s="47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12"/>
      <c r="AI111" s="12"/>
      <c r="AJ111" s="12"/>
    </row>
    <row r="112" spans="1:36" ht="33" customHeight="1" x14ac:dyDescent="0.25">
      <c r="A112" s="1"/>
      <c r="B112" s="67" t="s">
        <v>252</v>
      </c>
      <c r="C112" s="67" t="s">
        <v>253</v>
      </c>
      <c r="D112" s="67" t="s">
        <v>38</v>
      </c>
      <c r="E112" s="68" t="s">
        <v>254</v>
      </c>
      <c r="F112" s="67" t="s">
        <v>73</v>
      </c>
      <c r="G112" s="69">
        <v>24.55</v>
      </c>
      <c r="H112" s="70">
        <v>85.73</v>
      </c>
      <c r="I112" s="70">
        <f>3.15*1.22</f>
        <v>3.843</v>
      </c>
      <c r="J112" s="70">
        <f>82.58*1.22</f>
        <v>100.74759999999999</v>
      </c>
      <c r="K112" s="70">
        <f>I112+J112</f>
        <v>104.59059999999999</v>
      </c>
      <c r="L112" s="70">
        <f>G112*I112</f>
        <v>94.345650000000006</v>
      </c>
      <c r="M112" s="70">
        <f>G112*J112</f>
        <v>2473.35358</v>
      </c>
      <c r="N112" s="70">
        <f>L112+M112</f>
        <v>2567.6992300000002</v>
      </c>
      <c r="O112" s="71">
        <f t="shared" si="13"/>
        <v>1.1464540848396753E-3</v>
      </c>
      <c r="P112" s="12"/>
      <c r="Q112" s="49"/>
      <c r="R112" s="47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12"/>
      <c r="AI112" s="12"/>
      <c r="AJ112" s="12"/>
    </row>
    <row r="113" spans="1:36" ht="20.100000000000001" customHeight="1" x14ac:dyDescent="0.25">
      <c r="A113" s="1"/>
      <c r="B113" s="59">
        <v>6</v>
      </c>
      <c r="C113" s="59"/>
      <c r="D113" s="59"/>
      <c r="E113" s="60" t="s">
        <v>255</v>
      </c>
      <c r="F113" s="60"/>
      <c r="G113" s="61"/>
      <c r="H113" s="62"/>
      <c r="I113" s="60"/>
      <c r="J113" s="60"/>
      <c r="K113" s="60"/>
      <c r="L113" s="60"/>
      <c r="M113" s="60"/>
      <c r="N113" s="63">
        <f>SUM(N114:N115)</f>
        <v>15763.596087999998</v>
      </c>
      <c r="O113" s="64">
        <f>N113/$N$472</f>
        <v>7.038300637279205E-3</v>
      </c>
      <c r="P113" s="12"/>
      <c r="Q113" s="49"/>
      <c r="R113" s="47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12"/>
      <c r="AI113" s="12"/>
      <c r="AJ113" s="12"/>
    </row>
    <row r="114" spans="1:36" ht="33" customHeight="1" x14ac:dyDescent="0.25">
      <c r="A114" s="1"/>
      <c r="B114" s="67" t="s">
        <v>256</v>
      </c>
      <c r="C114" s="67" t="s">
        <v>257</v>
      </c>
      <c r="D114" s="67" t="s">
        <v>38</v>
      </c>
      <c r="E114" s="68" t="s">
        <v>258</v>
      </c>
      <c r="F114" s="67" t="s">
        <v>30</v>
      </c>
      <c r="G114" s="69">
        <v>155.66999999999999</v>
      </c>
      <c r="H114" s="70">
        <v>66.14</v>
      </c>
      <c r="I114" s="70">
        <f>29.89*1.22</f>
        <v>36.465800000000002</v>
      </c>
      <c r="J114" s="70">
        <f>36.25*1.22</f>
        <v>44.225000000000001</v>
      </c>
      <c r="K114" s="70">
        <f>I114+J114</f>
        <v>80.690799999999996</v>
      </c>
      <c r="L114" s="70">
        <f>G114*I114</f>
        <v>5676.6310859999994</v>
      </c>
      <c r="M114" s="70">
        <f>G114*J114</f>
        <v>6884.5057499999994</v>
      </c>
      <c r="N114" s="70">
        <f>L114+M114</f>
        <v>12561.136835999998</v>
      </c>
      <c r="O114" s="71">
        <f t="shared" si="13"/>
        <v>5.6084320420434573E-3</v>
      </c>
      <c r="P114" s="12"/>
      <c r="Q114" s="49"/>
      <c r="R114" s="47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12"/>
      <c r="AI114" s="12"/>
      <c r="AJ114" s="12"/>
    </row>
    <row r="115" spans="1:36" ht="19.5" customHeight="1" x14ac:dyDescent="0.25">
      <c r="A115" s="1"/>
      <c r="B115" s="67" t="s">
        <v>259</v>
      </c>
      <c r="C115" s="67" t="s">
        <v>260</v>
      </c>
      <c r="D115" s="67" t="s">
        <v>38</v>
      </c>
      <c r="E115" s="68" t="s">
        <v>261</v>
      </c>
      <c r="F115" s="67" t="s">
        <v>30</v>
      </c>
      <c r="G115" s="69">
        <v>73.180000000000007</v>
      </c>
      <c r="H115" s="70">
        <v>35.869999999999997</v>
      </c>
      <c r="I115" s="70">
        <f>18.28*1.22</f>
        <v>22.301600000000001</v>
      </c>
      <c r="J115" s="70">
        <f>17.59*1.22</f>
        <v>21.459799999999998</v>
      </c>
      <c r="K115" s="70">
        <f>I115+J115</f>
        <v>43.761399999999995</v>
      </c>
      <c r="L115" s="70">
        <f>G115*I115</f>
        <v>1632.0310880000002</v>
      </c>
      <c r="M115" s="70">
        <f>G115*J115</f>
        <v>1570.4281639999999</v>
      </c>
      <c r="N115" s="70">
        <f>L115+M115</f>
        <v>3202.4592520000001</v>
      </c>
      <c r="O115" s="71">
        <f t="shared" si="13"/>
        <v>1.4298685952357478E-3</v>
      </c>
      <c r="P115" s="12"/>
      <c r="Q115" s="49"/>
      <c r="R115" s="47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12"/>
      <c r="AI115" s="12"/>
      <c r="AJ115" s="12"/>
    </row>
    <row r="116" spans="1:36" ht="20.100000000000001" customHeight="1" x14ac:dyDescent="0.25">
      <c r="A116" s="1"/>
      <c r="B116" s="59">
        <v>7</v>
      </c>
      <c r="C116" s="59"/>
      <c r="D116" s="59"/>
      <c r="E116" s="60" t="s">
        <v>262</v>
      </c>
      <c r="F116" s="60"/>
      <c r="G116" s="61"/>
      <c r="H116" s="62"/>
      <c r="I116" s="60"/>
      <c r="J116" s="60"/>
      <c r="K116" s="60"/>
      <c r="L116" s="60"/>
      <c r="M116" s="60"/>
      <c r="N116" s="63">
        <f>N117+N125+N136</f>
        <v>160373.86165000001</v>
      </c>
      <c r="O116" s="64">
        <f>N116/$N$472</f>
        <v>7.1605453879485512E-2</v>
      </c>
      <c r="P116" s="12"/>
      <c r="Q116" s="49"/>
      <c r="R116" s="47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12"/>
      <c r="AI116" s="12"/>
      <c r="AJ116" s="12"/>
    </row>
    <row r="117" spans="1:36" ht="20.100000000000001" customHeight="1" x14ac:dyDescent="0.25">
      <c r="A117" s="1"/>
      <c r="B117" s="59" t="s">
        <v>263</v>
      </c>
      <c r="C117" s="59"/>
      <c r="D117" s="59"/>
      <c r="E117" s="60" t="s">
        <v>264</v>
      </c>
      <c r="F117" s="60"/>
      <c r="G117" s="61"/>
      <c r="H117" s="62"/>
      <c r="I117" s="60"/>
      <c r="J117" s="60"/>
      <c r="K117" s="60"/>
      <c r="L117" s="60"/>
      <c r="M117" s="60"/>
      <c r="N117" s="63">
        <f>N118</f>
        <v>50941.054738000006</v>
      </c>
      <c r="O117" s="64">
        <f>N117/$N$472</f>
        <v>2.2744712312127619E-2</v>
      </c>
      <c r="P117" s="12"/>
      <c r="Q117" s="49"/>
      <c r="R117" s="47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12"/>
      <c r="AI117" s="12"/>
      <c r="AJ117" s="12"/>
    </row>
    <row r="118" spans="1:36" ht="20.100000000000001" customHeight="1" x14ac:dyDescent="0.25">
      <c r="A118" s="1"/>
      <c r="B118" s="59" t="s">
        <v>265</v>
      </c>
      <c r="C118" s="59"/>
      <c r="D118" s="59"/>
      <c r="E118" s="60" t="s">
        <v>266</v>
      </c>
      <c r="F118" s="60"/>
      <c r="G118" s="61"/>
      <c r="H118" s="62"/>
      <c r="I118" s="60"/>
      <c r="J118" s="60"/>
      <c r="K118" s="60"/>
      <c r="L118" s="60"/>
      <c r="M118" s="60"/>
      <c r="N118" s="63">
        <f>SUM(N119:N124)</f>
        <v>50941.054738000006</v>
      </c>
      <c r="O118" s="64">
        <f>N118/$N$472</f>
        <v>2.2744712312127619E-2</v>
      </c>
      <c r="P118" s="12"/>
      <c r="Q118" s="49"/>
      <c r="R118" s="47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12"/>
      <c r="AI118" s="12"/>
      <c r="AJ118" s="12"/>
    </row>
    <row r="119" spans="1:36" ht="48" customHeight="1" x14ac:dyDescent="0.25">
      <c r="A119" s="1"/>
      <c r="B119" s="67" t="s">
        <v>267</v>
      </c>
      <c r="C119" s="67" t="s">
        <v>268</v>
      </c>
      <c r="D119" s="67" t="s">
        <v>38</v>
      </c>
      <c r="E119" s="68" t="s">
        <v>269</v>
      </c>
      <c r="F119" s="67" t="s">
        <v>40</v>
      </c>
      <c r="G119" s="69">
        <v>12</v>
      </c>
      <c r="H119" s="70">
        <v>1354.51</v>
      </c>
      <c r="I119" s="70">
        <f>289.11*1.22</f>
        <v>352.71420000000001</v>
      </c>
      <c r="J119" s="70">
        <f>1065.4*1.22</f>
        <v>1299.788</v>
      </c>
      <c r="K119" s="70">
        <f t="shared" ref="K119:K124" si="30">I119+J119</f>
        <v>1652.5021999999999</v>
      </c>
      <c r="L119" s="70">
        <f t="shared" ref="L119:L124" si="31">G119*I119</f>
        <v>4232.5704000000005</v>
      </c>
      <c r="M119" s="70">
        <f t="shared" ref="M119:M124" si="32">G119*J119</f>
        <v>15597.456</v>
      </c>
      <c r="N119" s="70">
        <f t="shared" ref="N119:N124" si="33">L119+M119</f>
        <v>19830.026400000002</v>
      </c>
      <c r="O119" s="71">
        <f t="shared" si="13"/>
        <v>8.853924362768377E-3</v>
      </c>
      <c r="P119" s="12"/>
      <c r="Q119" s="49"/>
      <c r="R119" s="47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12"/>
      <c r="AI119" s="12"/>
      <c r="AJ119" s="12"/>
    </row>
    <row r="120" spans="1:36" ht="48" customHeight="1" x14ac:dyDescent="0.25">
      <c r="A120" s="1"/>
      <c r="B120" s="67" t="s">
        <v>270</v>
      </c>
      <c r="C120" s="67" t="s">
        <v>271</v>
      </c>
      <c r="D120" s="67" t="s">
        <v>38</v>
      </c>
      <c r="E120" s="68" t="s">
        <v>272</v>
      </c>
      <c r="F120" s="67" t="s">
        <v>40</v>
      </c>
      <c r="G120" s="69">
        <v>10</v>
      </c>
      <c r="H120" s="70">
        <v>1263.69</v>
      </c>
      <c r="I120" s="70">
        <f>283.94*1.22</f>
        <v>346.40679999999998</v>
      </c>
      <c r="J120" s="70">
        <f>979.75*1.22</f>
        <v>1195.2950000000001</v>
      </c>
      <c r="K120" s="70">
        <f t="shared" si="30"/>
        <v>1541.7018</v>
      </c>
      <c r="L120" s="70">
        <f t="shared" si="31"/>
        <v>3464.0679999999998</v>
      </c>
      <c r="M120" s="70">
        <f t="shared" si="32"/>
        <v>11952.95</v>
      </c>
      <c r="N120" s="70">
        <f t="shared" si="33"/>
        <v>15417.018</v>
      </c>
      <c r="O120" s="71">
        <f t="shared" ref="O120:O182" si="34">N120/$N$472</f>
        <v>6.8835567093061762E-3</v>
      </c>
      <c r="P120" s="12"/>
      <c r="Q120" s="49"/>
      <c r="R120" s="47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12"/>
      <c r="AI120" s="12"/>
      <c r="AJ120" s="12"/>
    </row>
    <row r="121" spans="1:36" ht="20.100000000000001" customHeight="1" x14ac:dyDescent="0.25">
      <c r="A121" s="1"/>
      <c r="B121" s="67" t="s">
        <v>273</v>
      </c>
      <c r="C121" s="67" t="s">
        <v>274</v>
      </c>
      <c r="D121" s="67" t="s">
        <v>24</v>
      </c>
      <c r="E121" s="68" t="s">
        <v>275</v>
      </c>
      <c r="F121" s="67" t="s">
        <v>40</v>
      </c>
      <c r="G121" s="69">
        <v>1</v>
      </c>
      <c r="H121" s="70">
        <v>985.85</v>
      </c>
      <c r="I121" s="70">
        <f>166.33*1.22</f>
        <v>202.92260000000002</v>
      </c>
      <c r="J121" s="70">
        <f>819.52*1.22</f>
        <v>999.81439999999998</v>
      </c>
      <c r="K121" s="70">
        <f t="shared" si="30"/>
        <v>1202.7370000000001</v>
      </c>
      <c r="L121" s="70">
        <f t="shared" si="31"/>
        <v>202.92260000000002</v>
      </c>
      <c r="M121" s="70">
        <f t="shared" si="32"/>
        <v>999.81439999999998</v>
      </c>
      <c r="N121" s="70">
        <f t="shared" si="33"/>
        <v>1202.7370000000001</v>
      </c>
      <c r="O121" s="71">
        <f t="shared" si="34"/>
        <v>5.3701100601171912E-4</v>
      </c>
      <c r="P121" s="12"/>
      <c r="Q121" s="49"/>
      <c r="R121" s="47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12"/>
      <c r="AI121" s="12"/>
      <c r="AJ121" s="12"/>
    </row>
    <row r="122" spans="1:36" ht="20.100000000000001" customHeight="1" x14ac:dyDescent="0.25">
      <c r="A122" s="1"/>
      <c r="B122" s="67" t="s">
        <v>276</v>
      </c>
      <c r="C122" s="67" t="s">
        <v>277</v>
      </c>
      <c r="D122" s="67" t="s">
        <v>24</v>
      </c>
      <c r="E122" s="68" t="s">
        <v>278</v>
      </c>
      <c r="F122" s="67" t="s">
        <v>30</v>
      </c>
      <c r="G122" s="69">
        <v>14.39</v>
      </c>
      <c r="H122" s="70">
        <v>611.11</v>
      </c>
      <c r="I122" s="70">
        <f>39.14*1.22</f>
        <v>47.750799999999998</v>
      </c>
      <c r="J122" s="70">
        <f>571.97*1.22</f>
        <v>697.80340000000001</v>
      </c>
      <c r="K122" s="70">
        <f t="shared" si="30"/>
        <v>745.55420000000004</v>
      </c>
      <c r="L122" s="70">
        <f t="shared" si="31"/>
        <v>687.13401199999998</v>
      </c>
      <c r="M122" s="70">
        <f t="shared" si="32"/>
        <v>10041.390926</v>
      </c>
      <c r="N122" s="70">
        <f t="shared" si="33"/>
        <v>10728.524938</v>
      </c>
      <c r="O122" s="71">
        <f t="shared" si="34"/>
        <v>4.7901876885613369E-3</v>
      </c>
      <c r="P122" s="12"/>
      <c r="Q122" s="49"/>
      <c r="R122" s="47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12"/>
      <c r="AI122" s="12"/>
      <c r="AJ122" s="12"/>
    </row>
    <row r="123" spans="1:36" ht="20.100000000000001" customHeight="1" x14ac:dyDescent="0.25">
      <c r="A123" s="1"/>
      <c r="B123" s="67" t="s">
        <v>279</v>
      </c>
      <c r="C123" s="67" t="s">
        <v>280</v>
      </c>
      <c r="D123" s="67" t="s">
        <v>24</v>
      </c>
      <c r="E123" s="68" t="s">
        <v>281</v>
      </c>
      <c r="F123" s="67" t="s">
        <v>40</v>
      </c>
      <c r="G123" s="69">
        <v>1</v>
      </c>
      <c r="H123" s="70">
        <v>934.26</v>
      </c>
      <c r="I123" s="70">
        <f>166.33*1.22</f>
        <v>202.92260000000002</v>
      </c>
      <c r="J123" s="70">
        <f>767.93*1.22</f>
        <v>936.87459999999987</v>
      </c>
      <c r="K123" s="70">
        <f t="shared" si="30"/>
        <v>1139.7972</v>
      </c>
      <c r="L123" s="70">
        <f t="shared" si="31"/>
        <v>202.92260000000002</v>
      </c>
      <c r="M123" s="70">
        <f t="shared" si="32"/>
        <v>936.87459999999987</v>
      </c>
      <c r="N123" s="70">
        <f t="shared" si="33"/>
        <v>1139.7972</v>
      </c>
      <c r="O123" s="71">
        <f t="shared" si="34"/>
        <v>5.0890896432166015E-4</v>
      </c>
      <c r="P123" s="12"/>
      <c r="Q123" s="49"/>
      <c r="R123" s="47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12"/>
      <c r="AI123" s="12"/>
      <c r="AJ123" s="12"/>
    </row>
    <row r="124" spans="1:36" ht="20.100000000000001" customHeight="1" x14ac:dyDescent="0.25">
      <c r="A124" s="1"/>
      <c r="B124" s="67" t="s">
        <v>282</v>
      </c>
      <c r="C124" s="67" t="s">
        <v>283</v>
      </c>
      <c r="D124" s="67" t="s">
        <v>24</v>
      </c>
      <c r="E124" s="68" t="s">
        <v>284</v>
      </c>
      <c r="F124" s="67" t="s">
        <v>40</v>
      </c>
      <c r="G124" s="69">
        <v>2</v>
      </c>
      <c r="H124" s="70">
        <v>1074.98</v>
      </c>
      <c r="I124" s="70">
        <f>192.46*1.22</f>
        <v>234.80119999999999</v>
      </c>
      <c r="J124" s="70">
        <f>882.52*1.22</f>
        <v>1076.6743999999999</v>
      </c>
      <c r="K124" s="70">
        <f t="shared" si="30"/>
        <v>1311.4755999999998</v>
      </c>
      <c r="L124" s="70">
        <f t="shared" si="31"/>
        <v>469.60239999999999</v>
      </c>
      <c r="M124" s="70">
        <f t="shared" si="32"/>
        <v>2153.3487999999998</v>
      </c>
      <c r="N124" s="70">
        <f t="shared" si="33"/>
        <v>2622.9511999999995</v>
      </c>
      <c r="O124" s="71">
        <f t="shared" si="34"/>
        <v>1.1711235811583461E-3</v>
      </c>
      <c r="P124" s="12"/>
      <c r="Q124" s="49"/>
      <c r="R124" s="47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12"/>
      <c r="AI124" s="12"/>
      <c r="AJ124" s="12"/>
    </row>
    <row r="125" spans="1:36" ht="20.100000000000001" customHeight="1" x14ac:dyDescent="0.25">
      <c r="A125" s="1"/>
      <c r="B125" s="59" t="s">
        <v>285</v>
      </c>
      <c r="C125" s="59"/>
      <c r="D125" s="59"/>
      <c r="E125" s="60" t="s">
        <v>286</v>
      </c>
      <c r="F125" s="60"/>
      <c r="G125" s="61"/>
      <c r="H125" s="62"/>
      <c r="I125" s="60"/>
      <c r="J125" s="60"/>
      <c r="K125" s="60"/>
      <c r="L125" s="60"/>
      <c r="M125" s="60"/>
      <c r="N125" s="63">
        <f>N126+N132</f>
        <v>82188.533854000008</v>
      </c>
      <c r="O125" s="64">
        <f>N125/$N$472</f>
        <v>3.6696424278595222E-2</v>
      </c>
      <c r="P125" s="12"/>
      <c r="Q125" s="49"/>
      <c r="R125" s="47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12"/>
      <c r="AI125" s="12"/>
      <c r="AJ125" s="12"/>
    </row>
    <row r="126" spans="1:36" ht="20.100000000000001" customHeight="1" x14ac:dyDescent="0.25">
      <c r="A126" s="1"/>
      <c r="B126" s="59" t="s">
        <v>287</v>
      </c>
      <c r="C126" s="59"/>
      <c r="D126" s="59"/>
      <c r="E126" s="60" t="s">
        <v>288</v>
      </c>
      <c r="F126" s="60"/>
      <c r="G126" s="61"/>
      <c r="H126" s="62"/>
      <c r="I126" s="60"/>
      <c r="J126" s="60"/>
      <c r="K126" s="60"/>
      <c r="L126" s="60"/>
      <c r="M126" s="60"/>
      <c r="N126" s="63">
        <f>SUM(N127:N131)</f>
        <v>39419.981566000002</v>
      </c>
      <c r="O126" s="64">
        <f>N126/$N$472</f>
        <v>1.7600659128072956E-2</v>
      </c>
      <c r="P126" s="12"/>
      <c r="Q126" s="49"/>
      <c r="R126" s="47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12"/>
      <c r="AI126" s="12"/>
      <c r="AJ126" s="12"/>
    </row>
    <row r="127" spans="1:36" ht="33" customHeight="1" x14ac:dyDescent="0.25">
      <c r="A127" s="1"/>
      <c r="B127" s="67" t="s">
        <v>289</v>
      </c>
      <c r="C127" s="67" t="s">
        <v>290</v>
      </c>
      <c r="D127" s="67" t="s">
        <v>38</v>
      </c>
      <c r="E127" s="68" t="s">
        <v>291</v>
      </c>
      <c r="F127" s="67" t="s">
        <v>30</v>
      </c>
      <c r="G127" s="69">
        <v>9.8699999999999992</v>
      </c>
      <c r="H127" s="70">
        <v>854.57</v>
      </c>
      <c r="I127" s="70">
        <f>12.7*1.22</f>
        <v>15.493999999999998</v>
      </c>
      <c r="J127" s="70">
        <f>841.87*1.22</f>
        <v>1027.0814</v>
      </c>
      <c r="K127" s="70">
        <f>I127+J127</f>
        <v>1042.5753999999999</v>
      </c>
      <c r="L127" s="70">
        <f>G127*I127</f>
        <v>152.92577999999997</v>
      </c>
      <c r="M127" s="70">
        <f>G127*J127</f>
        <v>10137.293417999999</v>
      </c>
      <c r="N127" s="70">
        <f>L127+M127</f>
        <v>10290.219197999999</v>
      </c>
      <c r="O127" s="71">
        <f t="shared" si="34"/>
        <v>4.5944882078119195E-3</v>
      </c>
      <c r="P127" s="12"/>
      <c r="Q127" s="49"/>
      <c r="R127" s="47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12"/>
      <c r="AI127" s="12"/>
      <c r="AJ127" s="12"/>
    </row>
    <row r="128" spans="1:36" ht="20.100000000000001" customHeight="1" x14ac:dyDescent="0.25">
      <c r="A128" s="1"/>
      <c r="B128" s="67" t="s">
        <v>292</v>
      </c>
      <c r="C128" s="67" t="s">
        <v>293</v>
      </c>
      <c r="D128" s="67" t="s">
        <v>24</v>
      </c>
      <c r="E128" s="68" t="s">
        <v>294</v>
      </c>
      <c r="F128" s="67" t="s">
        <v>30</v>
      </c>
      <c r="G128" s="69">
        <v>6.93</v>
      </c>
      <c r="H128" s="70">
        <v>1116.56</v>
      </c>
      <c r="I128" s="70">
        <f>142.56*1.22</f>
        <v>173.92320000000001</v>
      </c>
      <c r="J128" s="70">
        <f>974*1.22</f>
        <v>1188.28</v>
      </c>
      <c r="K128" s="70">
        <f>I128+J128</f>
        <v>1362.2031999999999</v>
      </c>
      <c r="L128" s="70">
        <f>G128*I128</f>
        <v>1205.2877760000001</v>
      </c>
      <c r="M128" s="70">
        <f>G128*J128</f>
        <v>8234.7803999999996</v>
      </c>
      <c r="N128" s="70">
        <f>L128+M128</f>
        <v>9440.0681760000007</v>
      </c>
      <c r="O128" s="71">
        <f t="shared" si="34"/>
        <v>4.2149035973891007E-3</v>
      </c>
      <c r="P128" s="12"/>
      <c r="Q128" s="49"/>
      <c r="R128" s="47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12"/>
      <c r="AI128" s="12"/>
      <c r="AJ128" s="12"/>
    </row>
    <row r="129" spans="1:36" ht="20.100000000000001" customHeight="1" x14ac:dyDescent="0.25">
      <c r="A129" s="1"/>
      <c r="B129" s="67" t="s">
        <v>295</v>
      </c>
      <c r="C129" s="67" t="s">
        <v>296</v>
      </c>
      <c r="D129" s="67" t="s">
        <v>24</v>
      </c>
      <c r="E129" s="68" t="s">
        <v>297</v>
      </c>
      <c r="F129" s="67" t="s">
        <v>30</v>
      </c>
      <c r="G129" s="69">
        <v>20.28</v>
      </c>
      <c r="H129" s="70">
        <v>502.37</v>
      </c>
      <c r="I129" s="70">
        <f>142.56*1.22</f>
        <v>173.92320000000001</v>
      </c>
      <c r="J129" s="70">
        <f>359.81*1.22</f>
        <v>438.96819999999997</v>
      </c>
      <c r="K129" s="70">
        <f>I129+J129</f>
        <v>612.89139999999998</v>
      </c>
      <c r="L129" s="70">
        <f>G129*I129</f>
        <v>3527.1624960000004</v>
      </c>
      <c r="M129" s="70">
        <f>G129*J129</f>
        <v>8902.2750959999994</v>
      </c>
      <c r="N129" s="70">
        <f>L129+M129</f>
        <v>12429.437592</v>
      </c>
      <c r="O129" s="71">
        <f t="shared" si="34"/>
        <v>5.549629541154716E-3</v>
      </c>
      <c r="P129" s="12"/>
      <c r="Q129" s="49"/>
      <c r="R129" s="47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12"/>
      <c r="AI129" s="12"/>
      <c r="AJ129" s="12"/>
    </row>
    <row r="130" spans="1:36" ht="20.100000000000001" customHeight="1" x14ac:dyDescent="0.25">
      <c r="A130" s="1"/>
      <c r="B130" s="67" t="s">
        <v>298</v>
      </c>
      <c r="C130" s="67" t="s">
        <v>299</v>
      </c>
      <c r="D130" s="67" t="s">
        <v>24</v>
      </c>
      <c r="E130" s="68" t="s">
        <v>300</v>
      </c>
      <c r="F130" s="67" t="s">
        <v>30</v>
      </c>
      <c r="G130" s="69">
        <v>4.7</v>
      </c>
      <c r="H130" s="70">
        <v>704.86</v>
      </c>
      <c r="I130" s="70">
        <f>142.56*1.22</f>
        <v>173.92320000000001</v>
      </c>
      <c r="J130" s="70">
        <f>562.3*1.22</f>
        <v>686.00599999999997</v>
      </c>
      <c r="K130" s="70">
        <f>I130+J130</f>
        <v>859.92920000000004</v>
      </c>
      <c r="L130" s="70">
        <f>G130*I130</f>
        <v>817.43904000000009</v>
      </c>
      <c r="M130" s="70">
        <f>G130*J130</f>
        <v>3224.2282</v>
      </c>
      <c r="N130" s="70">
        <f>L130+M130</f>
        <v>4041.6672400000002</v>
      </c>
      <c r="O130" s="71">
        <f t="shared" si="34"/>
        <v>1.8045672416471834E-3</v>
      </c>
      <c r="P130" s="12"/>
      <c r="Q130" s="49"/>
      <c r="R130" s="47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12"/>
      <c r="AI130" s="12"/>
      <c r="AJ130" s="12"/>
    </row>
    <row r="131" spans="1:36" ht="20.100000000000001" customHeight="1" x14ac:dyDescent="0.25">
      <c r="A131" s="1"/>
      <c r="B131" s="67" t="s">
        <v>301</v>
      </c>
      <c r="C131" s="67" t="s">
        <v>302</v>
      </c>
      <c r="D131" s="67" t="s">
        <v>24</v>
      </c>
      <c r="E131" s="68" t="s">
        <v>303</v>
      </c>
      <c r="F131" s="67" t="s">
        <v>30</v>
      </c>
      <c r="G131" s="69">
        <v>2.52</v>
      </c>
      <c r="H131" s="70">
        <v>1046.9000000000001</v>
      </c>
      <c r="I131" s="70">
        <f>71.29*1.22</f>
        <v>86.973800000000011</v>
      </c>
      <c r="J131" s="70">
        <f>975.61*1.22</f>
        <v>1190.2442000000001</v>
      </c>
      <c r="K131" s="70">
        <f>I131+J131</f>
        <v>1277.2180000000001</v>
      </c>
      <c r="L131" s="70">
        <f>G131*I131</f>
        <v>219.17397600000004</v>
      </c>
      <c r="M131" s="70">
        <f>G131*J131</f>
        <v>2999.4153840000004</v>
      </c>
      <c r="N131" s="70">
        <f>L131+M131</f>
        <v>3218.5893600000004</v>
      </c>
      <c r="O131" s="71">
        <f t="shared" si="34"/>
        <v>1.4370705400700364E-3</v>
      </c>
      <c r="P131" s="12"/>
      <c r="Q131" s="49"/>
      <c r="R131" s="47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12"/>
      <c r="AI131" s="12"/>
      <c r="AJ131" s="12"/>
    </row>
    <row r="132" spans="1:36" ht="20.100000000000001" customHeight="1" x14ac:dyDescent="0.25">
      <c r="A132" s="1"/>
      <c r="B132" s="59" t="s">
        <v>304</v>
      </c>
      <c r="C132" s="59"/>
      <c r="D132" s="59"/>
      <c r="E132" s="60" t="s">
        <v>305</v>
      </c>
      <c r="F132" s="60"/>
      <c r="G132" s="61"/>
      <c r="H132" s="62"/>
      <c r="I132" s="60"/>
      <c r="J132" s="60"/>
      <c r="K132" s="60"/>
      <c r="L132" s="60"/>
      <c r="M132" s="60"/>
      <c r="N132" s="63">
        <f>SUM(N133:N135)</f>
        <v>42768.552288000006</v>
      </c>
      <c r="O132" s="64">
        <f>N132/$N$472</f>
        <v>1.9095765150522262E-2</v>
      </c>
      <c r="P132" s="12"/>
      <c r="Q132" s="49"/>
      <c r="R132" s="47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12"/>
      <c r="AI132" s="12"/>
      <c r="AJ132" s="12"/>
    </row>
    <row r="133" spans="1:36" ht="33" customHeight="1" x14ac:dyDescent="0.25">
      <c r="A133" s="1"/>
      <c r="B133" s="67" t="s">
        <v>306</v>
      </c>
      <c r="C133" s="67" t="s">
        <v>307</v>
      </c>
      <c r="D133" s="67" t="s">
        <v>38</v>
      </c>
      <c r="E133" s="68" t="s">
        <v>308</v>
      </c>
      <c r="F133" s="67" t="s">
        <v>30</v>
      </c>
      <c r="G133" s="69">
        <v>25.64</v>
      </c>
      <c r="H133" s="70">
        <v>723.3</v>
      </c>
      <c r="I133" s="70">
        <f>60.95*1.22</f>
        <v>74.359000000000009</v>
      </c>
      <c r="J133" s="70">
        <f>662.35*1.22</f>
        <v>808.06700000000001</v>
      </c>
      <c r="K133" s="70">
        <f>I133+J133</f>
        <v>882.42600000000004</v>
      </c>
      <c r="L133" s="70">
        <f>G133*I133</f>
        <v>1906.5647600000002</v>
      </c>
      <c r="M133" s="70">
        <f>G133*J133</f>
        <v>20718.837879999999</v>
      </c>
      <c r="N133" s="70">
        <f>L133+M133</f>
        <v>22625.40264</v>
      </c>
      <c r="O133" s="71">
        <f t="shared" si="34"/>
        <v>1.0102034138075578E-2</v>
      </c>
      <c r="P133" s="12"/>
      <c r="Q133" s="49"/>
      <c r="R133" s="47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12"/>
      <c r="AI133" s="12"/>
      <c r="AJ133" s="12"/>
    </row>
    <row r="134" spans="1:36" ht="33" customHeight="1" x14ac:dyDescent="0.25">
      <c r="A134" s="1"/>
      <c r="B134" s="67" t="s">
        <v>309</v>
      </c>
      <c r="C134" s="67" t="s">
        <v>310</v>
      </c>
      <c r="D134" s="67" t="s">
        <v>38</v>
      </c>
      <c r="E134" s="68" t="s">
        <v>311</v>
      </c>
      <c r="F134" s="67" t="s">
        <v>30</v>
      </c>
      <c r="G134" s="69">
        <v>1.35</v>
      </c>
      <c r="H134" s="70">
        <v>770.36</v>
      </c>
      <c r="I134" s="70">
        <f>25.71*1.22</f>
        <v>31.366199999999999</v>
      </c>
      <c r="J134" s="70">
        <f>744.65*1.22</f>
        <v>908.47299999999996</v>
      </c>
      <c r="K134" s="70">
        <f>I134+J134</f>
        <v>939.83920000000001</v>
      </c>
      <c r="L134" s="70">
        <f>G134*I134</f>
        <v>42.344370000000005</v>
      </c>
      <c r="M134" s="70">
        <f>G134*J134</f>
        <v>1226.4385500000001</v>
      </c>
      <c r="N134" s="70">
        <f>L134+M134</f>
        <v>1268.7829200000001</v>
      </c>
      <c r="O134" s="71">
        <f t="shared" si="34"/>
        <v>5.6649990170726152E-4</v>
      </c>
      <c r="P134" s="12"/>
      <c r="Q134" s="49"/>
      <c r="R134" s="47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12"/>
      <c r="AI134" s="12"/>
      <c r="AJ134" s="12"/>
    </row>
    <row r="135" spans="1:36" ht="48" customHeight="1" x14ac:dyDescent="0.25">
      <c r="A135" s="1"/>
      <c r="B135" s="67" t="s">
        <v>312</v>
      </c>
      <c r="C135" s="67" t="s">
        <v>313</v>
      </c>
      <c r="D135" s="67" t="s">
        <v>38</v>
      </c>
      <c r="E135" s="68" t="s">
        <v>314</v>
      </c>
      <c r="F135" s="67" t="s">
        <v>30</v>
      </c>
      <c r="G135" s="69">
        <v>35.67</v>
      </c>
      <c r="H135" s="70">
        <v>433.72</v>
      </c>
      <c r="I135" s="70">
        <f>34.28*1.22</f>
        <v>41.821600000000004</v>
      </c>
      <c r="J135" s="70">
        <f>399.44*1.22</f>
        <v>487.3168</v>
      </c>
      <c r="K135" s="70">
        <f>I135+J135</f>
        <v>529.13840000000005</v>
      </c>
      <c r="L135" s="70">
        <f>G135*I135</f>
        <v>1491.7764720000002</v>
      </c>
      <c r="M135" s="70">
        <f>G135*J135</f>
        <v>17382.590255999999</v>
      </c>
      <c r="N135" s="70">
        <f>L135+M135</f>
        <v>18874.366728000001</v>
      </c>
      <c r="O135" s="71">
        <f t="shared" si="34"/>
        <v>8.4272311107394214E-3</v>
      </c>
      <c r="P135" s="12"/>
      <c r="Q135" s="49"/>
      <c r="R135" s="47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12"/>
      <c r="AI135" s="12"/>
      <c r="AJ135" s="12"/>
    </row>
    <row r="136" spans="1:36" ht="20.100000000000001" customHeight="1" x14ac:dyDescent="0.25">
      <c r="A136" s="1"/>
      <c r="B136" s="59" t="s">
        <v>315</v>
      </c>
      <c r="C136" s="59"/>
      <c r="D136" s="59"/>
      <c r="E136" s="60" t="s">
        <v>316</v>
      </c>
      <c r="F136" s="60"/>
      <c r="G136" s="61"/>
      <c r="H136" s="62"/>
      <c r="I136" s="60"/>
      <c r="J136" s="60"/>
      <c r="K136" s="60"/>
      <c r="L136" s="60"/>
      <c r="M136" s="60"/>
      <c r="N136" s="63">
        <f>N137+N139</f>
        <v>27244.273058000002</v>
      </c>
      <c r="O136" s="64">
        <f>N136/$N$472</f>
        <v>1.2164317288762678E-2</v>
      </c>
      <c r="P136" s="12"/>
      <c r="Q136" s="49"/>
      <c r="R136" s="47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12"/>
      <c r="AI136" s="12"/>
      <c r="AJ136" s="12"/>
    </row>
    <row r="137" spans="1:36" ht="20.100000000000001" customHeight="1" x14ac:dyDescent="0.25">
      <c r="A137" s="1"/>
      <c r="B137" s="59" t="s">
        <v>317</v>
      </c>
      <c r="C137" s="59"/>
      <c r="D137" s="59"/>
      <c r="E137" s="60" t="s">
        <v>318</v>
      </c>
      <c r="F137" s="60"/>
      <c r="G137" s="61"/>
      <c r="H137" s="62"/>
      <c r="I137" s="60"/>
      <c r="J137" s="60"/>
      <c r="K137" s="60"/>
      <c r="L137" s="60"/>
      <c r="M137" s="60"/>
      <c r="N137" s="63">
        <f>SUM(N138)</f>
        <v>3772.7883900000002</v>
      </c>
      <c r="O137" s="64">
        <f>N137/$N$472</f>
        <v>1.6845153086528762E-3</v>
      </c>
      <c r="P137" s="12"/>
      <c r="Q137" s="49"/>
      <c r="R137" s="47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12"/>
      <c r="AI137" s="12"/>
      <c r="AJ137" s="12"/>
    </row>
    <row r="138" spans="1:36" ht="20.100000000000001" customHeight="1" x14ac:dyDescent="0.25">
      <c r="A138" s="1"/>
      <c r="B138" s="67" t="s">
        <v>319</v>
      </c>
      <c r="C138" s="67" t="s">
        <v>320</v>
      </c>
      <c r="D138" s="67" t="s">
        <v>24</v>
      </c>
      <c r="E138" s="68" t="s">
        <v>321</v>
      </c>
      <c r="F138" s="67" t="s">
        <v>30</v>
      </c>
      <c r="G138" s="69">
        <v>3.15</v>
      </c>
      <c r="H138" s="70">
        <v>981.73</v>
      </c>
      <c r="I138" s="70">
        <f>90.38*1.22</f>
        <v>110.2636</v>
      </c>
      <c r="J138" s="70">
        <f>891.35*1.22</f>
        <v>1087.4470000000001</v>
      </c>
      <c r="K138" s="70">
        <f>I138+J138</f>
        <v>1197.7106000000001</v>
      </c>
      <c r="L138" s="70">
        <f>G138*I138</f>
        <v>347.33033999999998</v>
      </c>
      <c r="M138" s="70">
        <f>G138*J138</f>
        <v>3425.4580500000002</v>
      </c>
      <c r="N138" s="70">
        <f>L138+M138</f>
        <v>3772.7883900000002</v>
      </c>
      <c r="O138" s="71">
        <f t="shared" si="34"/>
        <v>1.6845153086528762E-3</v>
      </c>
      <c r="P138" s="12"/>
      <c r="Q138" s="49"/>
      <c r="R138" s="47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12"/>
      <c r="AI138" s="12"/>
      <c r="AJ138" s="12"/>
    </row>
    <row r="139" spans="1:36" ht="20.100000000000001" customHeight="1" x14ac:dyDescent="0.25">
      <c r="A139" s="1"/>
      <c r="B139" s="59" t="s">
        <v>322</v>
      </c>
      <c r="C139" s="59"/>
      <c r="D139" s="59"/>
      <c r="E139" s="60" t="s">
        <v>323</v>
      </c>
      <c r="F139" s="60"/>
      <c r="G139" s="61"/>
      <c r="H139" s="62"/>
      <c r="I139" s="60"/>
      <c r="J139" s="60"/>
      <c r="K139" s="60"/>
      <c r="L139" s="60"/>
      <c r="M139" s="60"/>
      <c r="N139" s="63">
        <f>SUM(N140:N146)</f>
        <v>23471.484668000001</v>
      </c>
      <c r="O139" s="64">
        <f>N139/$N$472</f>
        <v>1.0479801980109801E-2</v>
      </c>
      <c r="P139" s="12"/>
      <c r="Q139" s="49"/>
      <c r="R139" s="47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12"/>
      <c r="AI139" s="12"/>
      <c r="AJ139" s="12"/>
    </row>
    <row r="140" spans="1:36" ht="20.100000000000001" customHeight="1" x14ac:dyDescent="0.25">
      <c r="A140" s="1"/>
      <c r="B140" s="67" t="s">
        <v>324</v>
      </c>
      <c r="C140" s="67" t="s">
        <v>325</v>
      </c>
      <c r="D140" s="67" t="s">
        <v>24</v>
      </c>
      <c r="E140" s="68" t="s">
        <v>326</v>
      </c>
      <c r="F140" s="67" t="s">
        <v>327</v>
      </c>
      <c r="G140" s="69">
        <v>7</v>
      </c>
      <c r="H140" s="70">
        <v>472.87</v>
      </c>
      <c r="I140" s="70">
        <f>83.2*1.2</f>
        <v>99.84</v>
      </c>
      <c r="J140" s="70">
        <f>389.67*1.22</f>
        <v>475.3974</v>
      </c>
      <c r="K140" s="70">
        <f t="shared" ref="K140:K146" si="35">I140+J140</f>
        <v>575.23739999999998</v>
      </c>
      <c r="L140" s="70">
        <f t="shared" ref="L140:L146" si="36">G140*I140</f>
        <v>698.88</v>
      </c>
      <c r="M140" s="70">
        <f t="shared" ref="M140:M146" si="37">G140*J140</f>
        <v>3327.7818000000002</v>
      </c>
      <c r="N140" s="70">
        <f t="shared" ref="N140:N146" si="38">L140+M140</f>
        <v>4026.6618000000003</v>
      </c>
      <c r="O140" s="71">
        <f t="shared" si="34"/>
        <v>1.7978674507285965E-3</v>
      </c>
      <c r="P140" s="12"/>
      <c r="Q140" s="49"/>
      <c r="R140" s="47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12"/>
      <c r="AI140" s="12"/>
      <c r="AJ140" s="12"/>
    </row>
    <row r="141" spans="1:36" ht="33" customHeight="1" x14ac:dyDescent="0.25">
      <c r="A141" s="1"/>
      <c r="B141" s="67" t="s">
        <v>328</v>
      </c>
      <c r="C141" s="67" t="s">
        <v>329</v>
      </c>
      <c r="D141" s="67" t="s">
        <v>24</v>
      </c>
      <c r="E141" s="68" t="s">
        <v>330</v>
      </c>
      <c r="F141" s="67" t="s">
        <v>327</v>
      </c>
      <c r="G141" s="69">
        <v>7</v>
      </c>
      <c r="H141" s="70">
        <v>150.63</v>
      </c>
      <c r="I141" s="70">
        <f>14.26*1.22</f>
        <v>17.397199999999998</v>
      </c>
      <c r="J141" s="70">
        <f>136.37*1.22</f>
        <v>166.37139999999999</v>
      </c>
      <c r="K141" s="70">
        <f t="shared" si="35"/>
        <v>183.76859999999999</v>
      </c>
      <c r="L141" s="70">
        <f t="shared" si="36"/>
        <v>121.78039999999999</v>
      </c>
      <c r="M141" s="70">
        <f t="shared" si="37"/>
        <v>1164.5998</v>
      </c>
      <c r="N141" s="70">
        <f t="shared" si="38"/>
        <v>1286.3802000000001</v>
      </c>
      <c r="O141" s="71">
        <f t="shared" si="34"/>
        <v>5.7435692534241189E-4</v>
      </c>
      <c r="P141" s="12"/>
      <c r="Q141" s="49"/>
      <c r="R141" s="47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12"/>
      <c r="AI141" s="12"/>
      <c r="AJ141" s="12"/>
    </row>
    <row r="142" spans="1:36" ht="33" customHeight="1" x14ac:dyDescent="0.25">
      <c r="A142" s="1"/>
      <c r="B142" s="67" t="s">
        <v>331</v>
      </c>
      <c r="C142" s="67">
        <v>100659</v>
      </c>
      <c r="D142" s="67" t="s">
        <v>38</v>
      </c>
      <c r="E142" s="68" t="s">
        <v>332</v>
      </c>
      <c r="F142" s="67" t="s">
        <v>73</v>
      </c>
      <c r="G142" s="69">
        <v>233.34</v>
      </c>
      <c r="H142" s="70">
        <v>14.11</v>
      </c>
      <c r="I142" s="70">
        <f>2.4*1.22</f>
        <v>2.9279999999999999</v>
      </c>
      <c r="J142" s="70">
        <f>11.71*1.22</f>
        <v>14.286200000000001</v>
      </c>
      <c r="K142" s="70">
        <f t="shared" si="35"/>
        <v>17.214200000000002</v>
      </c>
      <c r="L142" s="70">
        <f t="shared" si="36"/>
        <v>683.21951999999999</v>
      </c>
      <c r="M142" s="70">
        <f t="shared" si="37"/>
        <v>3333.5419080000001</v>
      </c>
      <c r="N142" s="70">
        <f t="shared" si="38"/>
        <v>4016.7614280000003</v>
      </c>
      <c r="O142" s="71">
        <f t="shared" si="34"/>
        <v>1.7934470257083216E-3</v>
      </c>
      <c r="P142" s="12"/>
      <c r="Q142" s="49"/>
      <c r="R142" s="47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12"/>
      <c r="AI142" s="12"/>
      <c r="AJ142" s="12"/>
    </row>
    <row r="143" spans="1:36" ht="20.100000000000001" customHeight="1" x14ac:dyDescent="0.25">
      <c r="A143" s="1"/>
      <c r="B143" s="67" t="s">
        <v>333</v>
      </c>
      <c r="C143" s="67" t="s">
        <v>334</v>
      </c>
      <c r="D143" s="67" t="s">
        <v>24</v>
      </c>
      <c r="E143" s="68" t="s">
        <v>335</v>
      </c>
      <c r="F143" s="67" t="s">
        <v>40</v>
      </c>
      <c r="G143" s="69">
        <v>4</v>
      </c>
      <c r="H143" s="70">
        <v>338.91</v>
      </c>
      <c r="I143" s="70">
        <f>22.18*1.22</f>
        <v>27.0596</v>
      </c>
      <c r="J143" s="70">
        <f>316.73*1.22</f>
        <v>386.41059999999999</v>
      </c>
      <c r="K143" s="70">
        <f t="shared" si="35"/>
        <v>413.47019999999998</v>
      </c>
      <c r="L143" s="70">
        <f t="shared" si="36"/>
        <v>108.2384</v>
      </c>
      <c r="M143" s="70">
        <f t="shared" si="37"/>
        <v>1545.6424</v>
      </c>
      <c r="N143" s="70">
        <f t="shared" si="38"/>
        <v>1653.8807999999999</v>
      </c>
      <c r="O143" s="71">
        <f t="shared" si="34"/>
        <v>7.3844256244837137E-4</v>
      </c>
      <c r="P143" s="12"/>
      <c r="Q143" s="49"/>
      <c r="R143" s="47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12"/>
      <c r="AI143" s="12"/>
      <c r="AJ143" s="12"/>
    </row>
    <row r="144" spans="1:36" ht="20.100000000000001" customHeight="1" x14ac:dyDescent="0.25">
      <c r="A144" s="1"/>
      <c r="B144" s="67" t="s">
        <v>336</v>
      </c>
      <c r="C144" s="67" t="s">
        <v>337</v>
      </c>
      <c r="D144" s="67" t="s">
        <v>24</v>
      </c>
      <c r="E144" s="68" t="s">
        <v>338</v>
      </c>
      <c r="F144" s="67" t="s">
        <v>327</v>
      </c>
      <c r="G144" s="69">
        <v>23</v>
      </c>
      <c r="H144" s="70">
        <v>319.82</v>
      </c>
      <c r="I144" s="70">
        <f>71.29*1.22</f>
        <v>86.973800000000011</v>
      </c>
      <c r="J144" s="70">
        <f>248.53*1.22</f>
        <v>303.20659999999998</v>
      </c>
      <c r="K144" s="70">
        <f t="shared" si="35"/>
        <v>390.18039999999996</v>
      </c>
      <c r="L144" s="70">
        <f t="shared" si="36"/>
        <v>2000.3974000000003</v>
      </c>
      <c r="M144" s="70">
        <f t="shared" si="37"/>
        <v>6973.7518</v>
      </c>
      <c r="N144" s="70">
        <f t="shared" si="38"/>
        <v>8974.1491999999998</v>
      </c>
      <c r="O144" s="71">
        <f t="shared" si="34"/>
        <v>4.0068750607915645E-3</v>
      </c>
      <c r="P144" s="12"/>
      <c r="Q144" s="49"/>
      <c r="R144" s="47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12"/>
      <c r="AI144" s="12"/>
      <c r="AJ144" s="12"/>
    </row>
    <row r="145" spans="1:36" ht="33" customHeight="1" x14ac:dyDescent="0.25">
      <c r="A145" s="1"/>
      <c r="B145" s="67" t="s">
        <v>339</v>
      </c>
      <c r="C145" s="67" t="s">
        <v>340</v>
      </c>
      <c r="D145" s="67" t="s">
        <v>38</v>
      </c>
      <c r="E145" s="68" t="s">
        <v>341</v>
      </c>
      <c r="F145" s="67" t="s">
        <v>40</v>
      </c>
      <c r="G145" s="69">
        <v>37</v>
      </c>
      <c r="H145" s="70">
        <v>63.15</v>
      </c>
      <c r="I145" s="70">
        <f>32.58*1.22</f>
        <v>39.747599999999998</v>
      </c>
      <c r="J145" s="70">
        <f>30.57*1.22</f>
        <v>37.295400000000001</v>
      </c>
      <c r="K145" s="70">
        <f t="shared" si="35"/>
        <v>77.043000000000006</v>
      </c>
      <c r="L145" s="70">
        <f t="shared" si="36"/>
        <v>1470.6612</v>
      </c>
      <c r="M145" s="70">
        <f t="shared" si="37"/>
        <v>1379.9298000000001</v>
      </c>
      <c r="N145" s="70">
        <f t="shared" si="38"/>
        <v>2850.5910000000003</v>
      </c>
      <c r="O145" s="71">
        <f t="shared" si="34"/>
        <v>1.2727626577031825E-3</v>
      </c>
      <c r="P145" s="12"/>
      <c r="Q145" s="49"/>
      <c r="R145" s="47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12"/>
      <c r="AI145" s="12"/>
      <c r="AJ145" s="12"/>
    </row>
    <row r="146" spans="1:36" ht="20.100000000000001" customHeight="1" x14ac:dyDescent="0.25">
      <c r="A146" s="1"/>
      <c r="B146" s="67" t="s">
        <v>342</v>
      </c>
      <c r="C146" s="67" t="s">
        <v>343</v>
      </c>
      <c r="D146" s="67" t="s">
        <v>24</v>
      </c>
      <c r="E146" s="68" t="s">
        <v>344</v>
      </c>
      <c r="F146" s="67" t="s">
        <v>30</v>
      </c>
      <c r="G146" s="69">
        <v>0.45</v>
      </c>
      <c r="H146" s="70">
        <v>1207.76</v>
      </c>
      <c r="I146" s="70">
        <f>90.38*1.22</f>
        <v>110.2636</v>
      </c>
      <c r="J146" s="70">
        <f>1117.38*1.22</f>
        <v>1363.2036000000001</v>
      </c>
      <c r="K146" s="70">
        <f t="shared" si="35"/>
        <v>1473.4672</v>
      </c>
      <c r="L146" s="70">
        <f t="shared" si="36"/>
        <v>49.61862</v>
      </c>
      <c r="M146" s="70">
        <f t="shared" si="37"/>
        <v>613.44162000000006</v>
      </c>
      <c r="N146" s="70">
        <f t="shared" si="38"/>
        <v>663.06024000000002</v>
      </c>
      <c r="O146" s="71">
        <f t="shared" si="34"/>
        <v>2.9605029738735228E-4</v>
      </c>
      <c r="P146" s="12"/>
      <c r="Q146" s="49"/>
      <c r="R146" s="47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12"/>
      <c r="AI146" s="12"/>
      <c r="AJ146" s="12"/>
    </row>
    <row r="147" spans="1:36" ht="20.100000000000001" customHeight="1" x14ac:dyDescent="0.25">
      <c r="A147" s="1"/>
      <c r="B147" s="59">
        <v>8</v>
      </c>
      <c r="C147" s="59"/>
      <c r="D147" s="59"/>
      <c r="E147" s="60" t="s">
        <v>345</v>
      </c>
      <c r="F147" s="60"/>
      <c r="G147" s="61"/>
      <c r="H147" s="62"/>
      <c r="I147" s="60"/>
      <c r="J147" s="60"/>
      <c r="K147" s="60"/>
      <c r="L147" s="60"/>
      <c r="M147" s="60"/>
      <c r="N147" s="63">
        <f>N148+N152</f>
        <v>71564.638068</v>
      </c>
      <c r="O147" s="64">
        <f>N147/$N$472</f>
        <v>3.195295254387389E-2</v>
      </c>
      <c r="P147" s="12"/>
      <c r="Q147" s="49"/>
      <c r="R147" s="47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12"/>
      <c r="AI147" s="12"/>
      <c r="AJ147" s="12"/>
    </row>
    <row r="148" spans="1:36" ht="20.100000000000001" customHeight="1" x14ac:dyDescent="0.25">
      <c r="A148" s="1"/>
      <c r="B148" s="59" t="s">
        <v>346</v>
      </c>
      <c r="C148" s="59"/>
      <c r="D148" s="59"/>
      <c r="E148" s="60" t="s">
        <v>347</v>
      </c>
      <c r="F148" s="60"/>
      <c r="G148" s="61"/>
      <c r="H148" s="62"/>
      <c r="I148" s="60"/>
      <c r="J148" s="60"/>
      <c r="K148" s="60"/>
      <c r="L148" s="60"/>
      <c r="M148" s="60"/>
      <c r="N148" s="63">
        <f>SUM(N149:N151)</f>
        <v>59022.306067999998</v>
      </c>
      <c r="O148" s="64">
        <f>N148/$N$472</f>
        <v>2.6352916688110763E-2</v>
      </c>
      <c r="P148" s="12"/>
      <c r="Q148" s="49"/>
      <c r="R148" s="47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12"/>
      <c r="AI148" s="12"/>
      <c r="AJ148" s="12"/>
    </row>
    <row r="149" spans="1:36" ht="33" customHeight="1" x14ac:dyDescent="0.25">
      <c r="A149" s="1"/>
      <c r="B149" s="67" t="s">
        <v>348</v>
      </c>
      <c r="C149" s="67" t="s">
        <v>349</v>
      </c>
      <c r="D149" s="67" t="s">
        <v>38</v>
      </c>
      <c r="E149" s="68" t="s">
        <v>350</v>
      </c>
      <c r="F149" s="67" t="s">
        <v>30</v>
      </c>
      <c r="G149" s="69">
        <v>1453.38</v>
      </c>
      <c r="H149" s="70">
        <v>9.18</v>
      </c>
      <c r="I149" s="70">
        <f>5.94*1.22</f>
        <v>7.2468000000000004</v>
      </c>
      <c r="J149" s="70">
        <f>3.24*1.22</f>
        <v>3.9528000000000003</v>
      </c>
      <c r="K149" s="70">
        <f>I149+J149</f>
        <v>11.1996</v>
      </c>
      <c r="L149" s="70">
        <f>G149*I149</f>
        <v>10532.354184000002</v>
      </c>
      <c r="M149" s="70">
        <f>G149*J149</f>
        <v>5744.9204640000007</v>
      </c>
      <c r="N149" s="70">
        <f>L149+M149</f>
        <v>16277.274648000002</v>
      </c>
      <c r="O149" s="71">
        <f t="shared" si="34"/>
        <v>7.2676533887720525E-3</v>
      </c>
      <c r="P149" s="12"/>
      <c r="Q149" s="49"/>
      <c r="R149" s="47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12"/>
      <c r="AI149" s="12"/>
      <c r="AJ149" s="12"/>
    </row>
    <row r="150" spans="1:36" ht="33" customHeight="1" x14ac:dyDescent="0.25">
      <c r="A150" s="1"/>
      <c r="B150" s="67" t="s">
        <v>351</v>
      </c>
      <c r="C150" s="67" t="s">
        <v>352</v>
      </c>
      <c r="D150" s="67" t="s">
        <v>38</v>
      </c>
      <c r="E150" s="68" t="s">
        <v>353</v>
      </c>
      <c r="F150" s="67" t="s">
        <v>30</v>
      </c>
      <c r="G150" s="69">
        <v>1375.61</v>
      </c>
      <c r="H150" s="70">
        <v>24.15</v>
      </c>
      <c r="I150" s="70">
        <f>12.5*1.22</f>
        <v>15.25</v>
      </c>
      <c r="J150" s="70">
        <f>11.65*1.22</f>
        <v>14.213000000000001</v>
      </c>
      <c r="K150" s="70">
        <f>I150+J150</f>
        <v>29.463000000000001</v>
      </c>
      <c r="L150" s="70">
        <f>G150*I150</f>
        <v>20978.052499999998</v>
      </c>
      <c r="M150" s="70">
        <f>G150*J150</f>
        <v>19551.54493</v>
      </c>
      <c r="N150" s="70">
        <f>L150+M150</f>
        <v>40529.597429999994</v>
      </c>
      <c r="O150" s="71">
        <f t="shared" si="34"/>
        <v>1.8096092403521537E-2</v>
      </c>
      <c r="P150" s="12"/>
      <c r="Q150" s="49"/>
      <c r="R150" s="47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12"/>
      <c r="AI150" s="12"/>
      <c r="AJ150" s="12"/>
    </row>
    <row r="151" spans="1:36" ht="33" customHeight="1" x14ac:dyDescent="0.25">
      <c r="A151" s="1"/>
      <c r="B151" s="67" t="s">
        <v>354</v>
      </c>
      <c r="C151" s="67" t="s">
        <v>355</v>
      </c>
      <c r="D151" s="67" t="s">
        <v>38</v>
      </c>
      <c r="E151" s="68" t="s">
        <v>356</v>
      </c>
      <c r="F151" s="67" t="s">
        <v>30</v>
      </c>
      <c r="G151" s="69">
        <v>77.77</v>
      </c>
      <c r="H151" s="70">
        <v>23.35</v>
      </c>
      <c r="I151" s="70">
        <f>11.91*1.22</f>
        <v>14.530200000000001</v>
      </c>
      <c r="J151" s="70">
        <f>11.44*1.22</f>
        <v>13.956799999999999</v>
      </c>
      <c r="K151" s="70">
        <f>I151+J151</f>
        <v>28.487000000000002</v>
      </c>
      <c r="L151" s="70">
        <f>G151*I151</f>
        <v>1130.0136540000001</v>
      </c>
      <c r="M151" s="70">
        <f>G151*J151</f>
        <v>1085.4203359999999</v>
      </c>
      <c r="N151" s="70">
        <f>L151+M151</f>
        <v>2215.43399</v>
      </c>
      <c r="O151" s="71">
        <f t="shared" si="34"/>
        <v>9.8917089581717103E-4</v>
      </c>
      <c r="P151" s="12"/>
      <c r="Q151" s="49"/>
      <c r="R151" s="47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12"/>
      <c r="AI151" s="12"/>
      <c r="AJ151" s="12"/>
    </row>
    <row r="152" spans="1:36" ht="20.100000000000001" customHeight="1" x14ac:dyDescent="0.25">
      <c r="A152" s="1"/>
      <c r="B152" s="59" t="s">
        <v>357</v>
      </c>
      <c r="C152" s="59"/>
      <c r="D152" s="59"/>
      <c r="E152" s="60" t="s">
        <v>358</v>
      </c>
      <c r="F152" s="60"/>
      <c r="G152" s="61"/>
      <c r="H152" s="62"/>
      <c r="I152" s="60"/>
      <c r="J152" s="60"/>
      <c r="K152" s="60"/>
      <c r="L152" s="60"/>
      <c r="M152" s="60"/>
      <c r="N152" s="63">
        <f>SUM(N153)</f>
        <v>12542.331999999999</v>
      </c>
      <c r="O152" s="64">
        <f>N152/$N$472</f>
        <v>5.6000358557631276E-3</v>
      </c>
      <c r="P152" s="12"/>
      <c r="Q152" s="49"/>
      <c r="R152" s="47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12"/>
      <c r="AI152" s="12"/>
      <c r="AJ152" s="12"/>
    </row>
    <row r="153" spans="1:36" ht="33" customHeight="1" x14ac:dyDescent="0.25">
      <c r="A153" s="1"/>
      <c r="B153" s="67" t="s">
        <v>359</v>
      </c>
      <c r="C153" s="67" t="s">
        <v>360</v>
      </c>
      <c r="D153" s="67" t="s">
        <v>38</v>
      </c>
      <c r="E153" s="68" t="s">
        <v>361</v>
      </c>
      <c r="F153" s="67" t="s">
        <v>30</v>
      </c>
      <c r="G153" s="69">
        <v>110</v>
      </c>
      <c r="H153" s="70">
        <v>93.46</v>
      </c>
      <c r="I153" s="70">
        <f>25.39*1.22</f>
        <v>30.9758</v>
      </c>
      <c r="J153" s="70">
        <f>68.07*1.22</f>
        <v>83.045399999999987</v>
      </c>
      <c r="K153" s="70">
        <f>I153+J153</f>
        <v>114.02119999999999</v>
      </c>
      <c r="L153" s="70">
        <f>G153*I153</f>
        <v>3407.3379999999997</v>
      </c>
      <c r="M153" s="70">
        <f>G153*J153</f>
        <v>9134.9939999999988</v>
      </c>
      <c r="N153" s="70">
        <f>L153+M153</f>
        <v>12542.331999999999</v>
      </c>
      <c r="O153" s="71">
        <f t="shared" si="34"/>
        <v>5.6000358557631276E-3</v>
      </c>
      <c r="P153" s="12"/>
      <c r="Q153" s="49"/>
      <c r="R153" s="47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12"/>
      <c r="AI153" s="12"/>
      <c r="AJ153" s="12"/>
    </row>
    <row r="154" spans="1:36" ht="20.100000000000001" customHeight="1" x14ac:dyDescent="0.25">
      <c r="A154" s="1"/>
      <c r="B154" s="59">
        <v>9</v>
      </c>
      <c r="C154" s="59"/>
      <c r="D154" s="59"/>
      <c r="E154" s="60" t="s">
        <v>362</v>
      </c>
      <c r="F154" s="60"/>
      <c r="G154" s="61"/>
      <c r="H154" s="62"/>
      <c r="I154" s="60"/>
      <c r="J154" s="60"/>
      <c r="K154" s="60"/>
      <c r="L154" s="60"/>
      <c r="M154" s="60"/>
      <c r="N154" s="63">
        <f>N155+N158+N160</f>
        <v>136266.0799064</v>
      </c>
      <c r="O154" s="64">
        <f>N154/$N$472</f>
        <v>6.0841551108687247E-2</v>
      </c>
      <c r="P154" s="12"/>
      <c r="Q154" s="49"/>
      <c r="R154" s="47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12"/>
      <c r="AI154" s="12"/>
      <c r="AJ154" s="12"/>
    </row>
    <row r="155" spans="1:36" ht="20.100000000000001" customHeight="1" x14ac:dyDescent="0.25">
      <c r="A155" s="1"/>
      <c r="B155" s="59" t="s">
        <v>363</v>
      </c>
      <c r="C155" s="59"/>
      <c r="D155" s="59"/>
      <c r="E155" s="60" t="s">
        <v>347</v>
      </c>
      <c r="F155" s="60"/>
      <c r="G155" s="61"/>
      <c r="H155" s="62"/>
      <c r="I155" s="60"/>
      <c r="J155" s="60"/>
      <c r="K155" s="60"/>
      <c r="L155" s="60"/>
      <c r="M155" s="60"/>
      <c r="N155" s="63">
        <f>SUM(N156:N157)</f>
        <v>51095.299362400001</v>
      </c>
      <c r="O155" s="64">
        <f>N155/$N$472</f>
        <v>2.2813581117960433E-2</v>
      </c>
      <c r="P155" s="12"/>
      <c r="Q155" s="49"/>
      <c r="R155" s="47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12"/>
      <c r="AI155" s="12"/>
      <c r="AJ155" s="12"/>
    </row>
    <row r="156" spans="1:36" ht="33" customHeight="1" x14ac:dyDescent="0.25">
      <c r="A156" s="1"/>
      <c r="B156" s="67" t="s">
        <v>364</v>
      </c>
      <c r="C156" s="67" t="s">
        <v>365</v>
      </c>
      <c r="D156" s="67" t="s">
        <v>38</v>
      </c>
      <c r="E156" s="68" t="s">
        <v>366</v>
      </c>
      <c r="F156" s="67" t="s">
        <v>30</v>
      </c>
      <c r="G156" s="69">
        <v>393.44</v>
      </c>
      <c r="H156" s="70">
        <v>86.38</v>
      </c>
      <c r="I156" s="70">
        <f>10*1.22</f>
        <v>12.2</v>
      </c>
      <c r="J156" s="70">
        <f>76.38*1.22</f>
        <v>93.183599999999998</v>
      </c>
      <c r="K156" s="70">
        <f>I156+J156</f>
        <v>105.3836</v>
      </c>
      <c r="L156" s="70">
        <f>G156*I156</f>
        <v>4799.9679999999998</v>
      </c>
      <c r="M156" s="70">
        <f>G156*J156</f>
        <v>36662.155584</v>
      </c>
      <c r="N156" s="70">
        <f>L156+M156</f>
        <v>41462.123584000001</v>
      </c>
      <c r="O156" s="71">
        <f t="shared" si="34"/>
        <v>1.8512456752578548E-2</v>
      </c>
      <c r="P156" s="12"/>
      <c r="Q156" s="49"/>
      <c r="R156" s="47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12"/>
      <c r="AI156" s="12"/>
      <c r="AJ156" s="12"/>
    </row>
    <row r="157" spans="1:36" ht="20.100000000000001" customHeight="1" x14ac:dyDescent="0.25">
      <c r="A157" s="1"/>
      <c r="B157" s="67" t="s">
        <v>367</v>
      </c>
      <c r="C157" s="67" t="s">
        <v>368</v>
      </c>
      <c r="D157" s="67" t="s">
        <v>24</v>
      </c>
      <c r="E157" s="68" t="s">
        <v>369</v>
      </c>
      <c r="F157" s="67" t="s">
        <v>53</v>
      </c>
      <c r="G157" s="69">
        <f>G156*0.025</f>
        <v>9.8360000000000003</v>
      </c>
      <c r="H157" s="70">
        <v>802.77</v>
      </c>
      <c r="I157" s="70">
        <f>338.7*1.22</f>
        <v>413.214</v>
      </c>
      <c r="J157" s="70">
        <f>464.07*1.22</f>
        <v>566.16539999999998</v>
      </c>
      <c r="K157" s="70">
        <f>I157+J157</f>
        <v>979.37940000000003</v>
      </c>
      <c r="L157" s="70">
        <f>G157*I157</f>
        <v>4064.3729040000003</v>
      </c>
      <c r="M157" s="70">
        <f>G157*J157</f>
        <v>5568.8028744000003</v>
      </c>
      <c r="N157" s="70">
        <f>L157+M157</f>
        <v>9633.1757784000001</v>
      </c>
      <c r="O157" s="71">
        <f t="shared" si="34"/>
        <v>4.3011243653818827E-3</v>
      </c>
      <c r="P157" s="12"/>
      <c r="Q157" s="49"/>
      <c r="R157" s="47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12"/>
      <c r="AI157" s="12"/>
      <c r="AJ157" s="12"/>
    </row>
    <row r="158" spans="1:36" ht="20.100000000000001" customHeight="1" x14ac:dyDescent="0.25">
      <c r="A158" s="1"/>
      <c r="B158" s="59" t="s">
        <v>370</v>
      </c>
      <c r="C158" s="59"/>
      <c r="D158" s="59"/>
      <c r="E158" s="60" t="s">
        <v>371</v>
      </c>
      <c r="F158" s="60"/>
      <c r="G158" s="61"/>
      <c r="H158" s="62"/>
      <c r="I158" s="60"/>
      <c r="J158" s="60"/>
      <c r="K158" s="60"/>
      <c r="L158" s="60"/>
      <c r="M158" s="60"/>
      <c r="N158" s="63">
        <f>SUM(N159)</f>
        <v>46602.889311999999</v>
      </c>
      <c r="O158" s="64">
        <f>N158/$N$472</f>
        <v>2.0807761358044123E-2</v>
      </c>
      <c r="P158" s="12"/>
      <c r="Q158" s="49"/>
      <c r="R158" s="47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12"/>
      <c r="AI158" s="12"/>
      <c r="AJ158" s="12"/>
    </row>
    <row r="159" spans="1:36" ht="20.100000000000001" customHeight="1" x14ac:dyDescent="0.25">
      <c r="A159" s="1"/>
      <c r="B159" s="67" t="s">
        <v>372</v>
      </c>
      <c r="C159" s="67" t="s">
        <v>373</v>
      </c>
      <c r="D159" s="67" t="s">
        <v>24</v>
      </c>
      <c r="E159" s="68" t="s">
        <v>374</v>
      </c>
      <c r="F159" s="67" t="s">
        <v>30</v>
      </c>
      <c r="G159" s="69">
        <v>393.44</v>
      </c>
      <c r="H159" s="70">
        <v>97.09</v>
      </c>
      <c r="I159" s="70">
        <f>8.57*1.22</f>
        <v>10.455400000000001</v>
      </c>
      <c r="J159" s="70">
        <f>88.52*1.22</f>
        <v>107.9944</v>
      </c>
      <c r="K159" s="70">
        <f>I159+J159</f>
        <v>118.4498</v>
      </c>
      <c r="L159" s="70">
        <f>G159*I159</f>
        <v>4113.5725760000005</v>
      </c>
      <c r="M159" s="70">
        <f>G159*J159</f>
        <v>42489.316736000001</v>
      </c>
      <c r="N159" s="70">
        <f>L159+M159</f>
        <v>46602.889311999999</v>
      </c>
      <c r="O159" s="71">
        <f t="shared" si="34"/>
        <v>2.0807761358044123E-2</v>
      </c>
      <c r="P159" s="12"/>
      <c r="Q159" s="49"/>
      <c r="R159" s="47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12"/>
      <c r="AI159" s="12"/>
      <c r="AJ159" s="12"/>
    </row>
    <row r="160" spans="1:36" ht="20.100000000000001" customHeight="1" x14ac:dyDescent="0.25">
      <c r="A160" s="1"/>
      <c r="B160" s="59" t="s">
        <v>375</v>
      </c>
      <c r="C160" s="59"/>
      <c r="D160" s="59"/>
      <c r="E160" s="60" t="s">
        <v>376</v>
      </c>
      <c r="F160" s="60"/>
      <c r="G160" s="61"/>
      <c r="H160" s="62"/>
      <c r="I160" s="60"/>
      <c r="J160" s="60"/>
      <c r="K160" s="60"/>
      <c r="L160" s="60"/>
      <c r="M160" s="60"/>
      <c r="N160" s="63">
        <f>SUM(N161)</f>
        <v>38567.891232000002</v>
      </c>
      <c r="O160" s="64">
        <f>N160/$N$472</f>
        <v>1.7220208632682692E-2</v>
      </c>
      <c r="P160" s="12"/>
      <c r="Q160" s="49"/>
      <c r="R160" s="66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12"/>
      <c r="AI160" s="12"/>
      <c r="AJ160" s="12"/>
    </row>
    <row r="161" spans="1:36" ht="20.100000000000001" customHeight="1" x14ac:dyDescent="0.25">
      <c r="A161" s="1"/>
      <c r="B161" s="67" t="s">
        <v>377</v>
      </c>
      <c r="C161" s="67" t="s">
        <v>378</v>
      </c>
      <c r="D161" s="67" t="s">
        <v>24</v>
      </c>
      <c r="E161" s="68" t="s">
        <v>379</v>
      </c>
      <c r="F161" s="67" t="s">
        <v>380</v>
      </c>
      <c r="G161" s="69">
        <v>260.64</v>
      </c>
      <c r="H161" s="70">
        <v>121.29</v>
      </c>
      <c r="I161" s="70">
        <f>0.51*1.22</f>
        <v>0.62219999999999998</v>
      </c>
      <c r="J161" s="70">
        <f>120.78*1.22</f>
        <v>147.35159999999999</v>
      </c>
      <c r="K161" s="70">
        <f>I161+J161</f>
        <v>147.97379999999998</v>
      </c>
      <c r="L161" s="70">
        <f>G161*I161</f>
        <v>162.17020799999997</v>
      </c>
      <c r="M161" s="70">
        <f>G161*J161</f>
        <v>38405.721023999999</v>
      </c>
      <c r="N161" s="70">
        <f>L161+M161</f>
        <v>38567.891232000002</v>
      </c>
      <c r="O161" s="71">
        <f t="shared" si="34"/>
        <v>1.7220208632682692E-2</v>
      </c>
      <c r="P161" s="12"/>
      <c r="Q161" s="49"/>
      <c r="R161" s="66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12"/>
      <c r="AI161" s="12"/>
      <c r="AJ161" s="12"/>
    </row>
    <row r="162" spans="1:36" ht="20.100000000000001" customHeight="1" x14ac:dyDescent="0.25">
      <c r="A162" s="1"/>
      <c r="B162" s="59">
        <v>10</v>
      </c>
      <c r="C162" s="59"/>
      <c r="D162" s="59"/>
      <c r="E162" s="60" t="s">
        <v>381</v>
      </c>
      <c r="F162" s="60"/>
      <c r="G162" s="61"/>
      <c r="H162" s="62"/>
      <c r="I162" s="60"/>
      <c r="J162" s="60"/>
      <c r="K162" s="60"/>
      <c r="L162" s="60"/>
      <c r="M162" s="60"/>
      <c r="N162" s="63">
        <f>N163</f>
        <v>17279.748892</v>
      </c>
      <c r="O162" s="64">
        <f>N162/$N$472</f>
        <v>7.7152489165318843E-3</v>
      </c>
      <c r="P162" s="12"/>
      <c r="Q162" s="49"/>
      <c r="R162" s="66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12"/>
      <c r="AI162" s="12"/>
      <c r="AJ162" s="12"/>
    </row>
    <row r="163" spans="1:36" ht="20.100000000000001" customHeight="1" x14ac:dyDescent="0.25">
      <c r="A163" s="1"/>
      <c r="B163" s="59" t="s">
        <v>382</v>
      </c>
      <c r="C163" s="59"/>
      <c r="D163" s="59"/>
      <c r="E163" s="60" t="s">
        <v>347</v>
      </c>
      <c r="F163" s="60"/>
      <c r="G163" s="61"/>
      <c r="H163" s="62"/>
      <c r="I163" s="60"/>
      <c r="J163" s="60"/>
      <c r="K163" s="60"/>
      <c r="L163" s="60"/>
      <c r="M163" s="60"/>
      <c r="N163" s="63">
        <f>SUM(N164)</f>
        <v>17279.748892</v>
      </c>
      <c r="O163" s="64">
        <f>N163/$N$472</f>
        <v>7.7152489165318843E-3</v>
      </c>
      <c r="P163" s="12"/>
      <c r="Q163" s="49"/>
      <c r="R163" s="66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12"/>
      <c r="AI163" s="12"/>
      <c r="AJ163" s="12"/>
    </row>
    <row r="164" spans="1:36" ht="33" customHeight="1" x14ac:dyDescent="0.25">
      <c r="A164" s="1"/>
      <c r="B164" s="67" t="s">
        <v>383</v>
      </c>
      <c r="C164" s="67" t="s">
        <v>365</v>
      </c>
      <c r="D164" s="67" t="s">
        <v>38</v>
      </c>
      <c r="E164" s="68" t="s">
        <v>366</v>
      </c>
      <c r="F164" s="67" t="s">
        <v>30</v>
      </c>
      <c r="G164" s="69">
        <v>163.97</v>
      </c>
      <c r="H164" s="70">
        <v>86.38</v>
      </c>
      <c r="I164" s="70">
        <f>10*1.22</f>
        <v>12.2</v>
      </c>
      <c r="J164" s="70">
        <f>76.38*1.22</f>
        <v>93.183599999999998</v>
      </c>
      <c r="K164" s="70">
        <f>I164+J164</f>
        <v>105.3836</v>
      </c>
      <c r="L164" s="70">
        <f>G164*I164</f>
        <v>2000.434</v>
      </c>
      <c r="M164" s="70">
        <f>G164*J164</f>
        <v>15279.314892</v>
      </c>
      <c r="N164" s="70">
        <f>L164+M164</f>
        <v>17279.748892</v>
      </c>
      <c r="O164" s="71">
        <f t="shared" si="34"/>
        <v>7.7152489165318843E-3</v>
      </c>
      <c r="P164" s="12"/>
      <c r="Q164" s="49"/>
      <c r="R164" s="66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12"/>
      <c r="AI164" s="12"/>
      <c r="AJ164" s="12"/>
    </row>
    <row r="165" spans="1:36" ht="20.100000000000001" customHeight="1" x14ac:dyDescent="0.25">
      <c r="A165" s="1"/>
      <c r="B165" s="59">
        <v>11</v>
      </c>
      <c r="C165" s="59"/>
      <c r="D165" s="59"/>
      <c r="E165" s="60" t="s">
        <v>384</v>
      </c>
      <c r="F165" s="60"/>
      <c r="G165" s="61"/>
      <c r="H165" s="62"/>
      <c r="I165" s="60"/>
      <c r="J165" s="60"/>
      <c r="K165" s="60"/>
      <c r="L165" s="60"/>
      <c r="M165" s="60"/>
      <c r="N165" s="63">
        <f>N166+N169</f>
        <v>31193.813756000003</v>
      </c>
      <c r="O165" s="64">
        <f>N165/$N$472</f>
        <v>1.3927750876918034E-2</v>
      </c>
      <c r="P165" s="12"/>
      <c r="Q165" s="49"/>
      <c r="R165" s="66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12"/>
      <c r="AI165" s="12"/>
      <c r="AJ165" s="12"/>
    </row>
    <row r="166" spans="1:36" ht="20.100000000000001" customHeight="1" x14ac:dyDescent="0.25">
      <c r="A166" s="1"/>
      <c r="B166" s="59" t="s">
        <v>385</v>
      </c>
      <c r="C166" s="59"/>
      <c r="D166" s="59"/>
      <c r="E166" s="60" t="s">
        <v>347</v>
      </c>
      <c r="F166" s="60"/>
      <c r="G166" s="61"/>
      <c r="H166" s="62"/>
      <c r="I166" s="60"/>
      <c r="J166" s="60"/>
      <c r="K166" s="60"/>
      <c r="L166" s="60"/>
      <c r="M166" s="60"/>
      <c r="N166" s="63">
        <f>SUM(N167:N168)</f>
        <v>234.22438399999999</v>
      </c>
      <c r="O166" s="64">
        <f>N166/$N$472</f>
        <v>1.0457903272645242E-4</v>
      </c>
      <c r="P166" s="12"/>
      <c r="Q166" s="49"/>
      <c r="R166" s="66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12"/>
      <c r="AI166" s="12"/>
      <c r="AJ166" s="12"/>
    </row>
    <row r="167" spans="1:36" ht="33" customHeight="1" x14ac:dyDescent="0.25">
      <c r="A167" s="1"/>
      <c r="B167" s="67" t="s">
        <v>386</v>
      </c>
      <c r="C167" s="67" t="s">
        <v>387</v>
      </c>
      <c r="D167" s="67" t="s">
        <v>38</v>
      </c>
      <c r="E167" s="68" t="s">
        <v>388</v>
      </c>
      <c r="F167" s="67" t="s">
        <v>30</v>
      </c>
      <c r="G167" s="69">
        <v>4.24</v>
      </c>
      <c r="H167" s="70">
        <v>9.75</v>
      </c>
      <c r="I167" s="70">
        <f>1.42*1.22</f>
        <v>1.7323999999999999</v>
      </c>
      <c r="J167" s="70">
        <f>8.33*1.22</f>
        <v>10.162599999999999</v>
      </c>
      <c r="K167" s="70">
        <f>I167+J167</f>
        <v>11.895</v>
      </c>
      <c r="L167" s="70">
        <f>G167*I167</f>
        <v>7.3453759999999999</v>
      </c>
      <c r="M167" s="70">
        <f>G167*J167</f>
        <v>43.089424000000001</v>
      </c>
      <c r="N167" s="70">
        <f>L167+M167</f>
        <v>50.434800000000003</v>
      </c>
      <c r="O167" s="71">
        <f t="shared" si="34"/>
        <v>2.2518674228862879E-5</v>
      </c>
      <c r="P167" s="12"/>
      <c r="Q167" s="49"/>
      <c r="R167" s="66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12"/>
      <c r="AI167" s="12"/>
      <c r="AJ167" s="12"/>
    </row>
    <row r="168" spans="1:36" ht="33" customHeight="1" x14ac:dyDescent="0.25">
      <c r="A168" s="1"/>
      <c r="B168" s="67" t="s">
        <v>389</v>
      </c>
      <c r="C168" s="67" t="s">
        <v>390</v>
      </c>
      <c r="D168" s="67" t="s">
        <v>38</v>
      </c>
      <c r="E168" s="68" t="s">
        <v>391</v>
      </c>
      <c r="F168" s="67" t="s">
        <v>30</v>
      </c>
      <c r="G168" s="69">
        <v>4.24</v>
      </c>
      <c r="H168" s="70">
        <v>35.53</v>
      </c>
      <c r="I168" s="70">
        <f>20.91*1.22</f>
        <v>25.510200000000001</v>
      </c>
      <c r="J168" s="70">
        <f>14.62*1.22</f>
        <v>17.836399999999998</v>
      </c>
      <c r="K168" s="70">
        <f>I168+J168</f>
        <v>43.346599999999995</v>
      </c>
      <c r="L168" s="70">
        <f>G168*I168</f>
        <v>108.16324800000001</v>
      </c>
      <c r="M168" s="70">
        <f>G168*J168</f>
        <v>75.626335999999995</v>
      </c>
      <c r="N168" s="70">
        <f>L168+M168</f>
        <v>183.78958399999999</v>
      </c>
      <c r="O168" s="71">
        <f t="shared" si="34"/>
        <v>8.2060358497589549E-5</v>
      </c>
      <c r="P168" s="12"/>
      <c r="Q168" s="49"/>
      <c r="R168" s="66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12"/>
      <c r="AI168" s="12"/>
      <c r="AJ168" s="12"/>
    </row>
    <row r="169" spans="1:36" ht="20.100000000000001" customHeight="1" x14ac:dyDescent="0.25">
      <c r="A169" s="1"/>
      <c r="B169" s="59" t="s">
        <v>392</v>
      </c>
      <c r="C169" s="59"/>
      <c r="D169" s="59"/>
      <c r="E169" s="60" t="s">
        <v>393</v>
      </c>
      <c r="F169" s="60"/>
      <c r="G169" s="61"/>
      <c r="H169" s="62"/>
      <c r="I169" s="60"/>
      <c r="J169" s="60"/>
      <c r="K169" s="60"/>
      <c r="L169" s="60"/>
      <c r="M169" s="60"/>
      <c r="N169" s="63">
        <f>SUM(N170)</f>
        <v>30959.589372000002</v>
      </c>
      <c r="O169" s="64">
        <f>N169/$N$472</f>
        <v>1.382317184419158E-2</v>
      </c>
      <c r="P169" s="12"/>
      <c r="Q169" s="49"/>
      <c r="R169" s="66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12"/>
      <c r="AI169" s="12"/>
      <c r="AJ169" s="12"/>
    </row>
    <row r="170" spans="1:36" ht="33" customHeight="1" x14ac:dyDescent="0.25">
      <c r="A170" s="1"/>
      <c r="B170" s="67" t="s">
        <v>394</v>
      </c>
      <c r="C170" s="67" t="s">
        <v>395</v>
      </c>
      <c r="D170" s="67" t="s">
        <v>38</v>
      </c>
      <c r="E170" s="68" t="s">
        <v>396</v>
      </c>
      <c r="F170" s="67" t="s">
        <v>30</v>
      </c>
      <c r="G170" s="69">
        <v>340.81</v>
      </c>
      <c r="H170" s="70">
        <v>74.459999999999994</v>
      </c>
      <c r="I170" s="70">
        <f>20.33*1.22</f>
        <v>24.802599999999998</v>
      </c>
      <c r="J170" s="70">
        <f>54.13*1.22</f>
        <v>66.038600000000002</v>
      </c>
      <c r="K170" s="70">
        <f>I170+J170</f>
        <v>90.841200000000001</v>
      </c>
      <c r="L170" s="70">
        <f>G170*I170</f>
        <v>8452.9741059999997</v>
      </c>
      <c r="M170" s="70">
        <f>G170*J170</f>
        <v>22506.615266000001</v>
      </c>
      <c r="N170" s="70">
        <f>L170+M170</f>
        <v>30959.589372000002</v>
      </c>
      <c r="O170" s="71">
        <f t="shared" si="34"/>
        <v>1.382317184419158E-2</v>
      </c>
      <c r="P170" s="12"/>
      <c r="Q170" s="49"/>
      <c r="R170" s="66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12"/>
      <c r="AI170" s="12"/>
      <c r="AJ170" s="12"/>
    </row>
    <row r="171" spans="1:36" ht="20.100000000000001" customHeight="1" x14ac:dyDescent="0.25">
      <c r="A171" s="1"/>
      <c r="B171" s="59">
        <v>12</v>
      </c>
      <c r="C171" s="59"/>
      <c r="D171" s="59"/>
      <c r="E171" s="60" t="s">
        <v>397</v>
      </c>
      <c r="F171" s="60"/>
      <c r="G171" s="61"/>
      <c r="H171" s="62"/>
      <c r="I171" s="60"/>
      <c r="J171" s="60"/>
      <c r="K171" s="60"/>
      <c r="L171" s="60"/>
      <c r="M171" s="60"/>
      <c r="N171" s="63">
        <f>N172+N177+N180</f>
        <v>85913.831914000009</v>
      </c>
      <c r="O171" s="64">
        <f>N171/$N$472</f>
        <v>3.8359735591786806E-2</v>
      </c>
      <c r="P171" s="12"/>
      <c r="Q171" s="49"/>
      <c r="R171" s="66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12"/>
      <c r="AI171" s="12"/>
      <c r="AJ171" s="12"/>
    </row>
    <row r="172" spans="1:36" ht="20.100000000000001" customHeight="1" x14ac:dyDescent="0.25">
      <c r="A172" s="1"/>
      <c r="B172" s="59" t="s">
        <v>398</v>
      </c>
      <c r="C172" s="59"/>
      <c r="D172" s="59"/>
      <c r="E172" s="60" t="s">
        <v>399</v>
      </c>
      <c r="F172" s="60"/>
      <c r="G172" s="61"/>
      <c r="H172" s="62"/>
      <c r="I172" s="60"/>
      <c r="J172" s="60"/>
      <c r="K172" s="60"/>
      <c r="L172" s="60"/>
      <c r="M172" s="60"/>
      <c r="N172" s="63">
        <f>SUM(N173:N176)</f>
        <v>66186.206579999998</v>
      </c>
      <c r="O172" s="64">
        <f>N172/$N$472</f>
        <v>2.9551532362956542E-2</v>
      </c>
      <c r="P172" s="12"/>
      <c r="Q172" s="49"/>
      <c r="R172" s="66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12"/>
      <c r="AI172" s="12"/>
      <c r="AJ172" s="12"/>
    </row>
    <row r="173" spans="1:36" ht="20.100000000000001" customHeight="1" x14ac:dyDescent="0.25">
      <c r="A173" s="1"/>
      <c r="B173" s="67" t="s">
        <v>400</v>
      </c>
      <c r="C173" s="67" t="s">
        <v>401</v>
      </c>
      <c r="D173" s="67" t="s">
        <v>38</v>
      </c>
      <c r="E173" s="68" t="s">
        <v>402</v>
      </c>
      <c r="F173" s="67" t="s">
        <v>30</v>
      </c>
      <c r="G173" s="69">
        <v>2078.46</v>
      </c>
      <c r="H173" s="70">
        <v>4.91</v>
      </c>
      <c r="I173" s="70">
        <f>2.15*1.22</f>
        <v>2.6229999999999998</v>
      </c>
      <c r="J173" s="70">
        <f>2.76*1.22</f>
        <v>3.3671999999999995</v>
      </c>
      <c r="K173" s="70">
        <f>I173+J173</f>
        <v>5.9901999999999997</v>
      </c>
      <c r="L173" s="70">
        <f>G173*I173</f>
        <v>5451.8005800000001</v>
      </c>
      <c r="M173" s="70">
        <f>G173*J173</f>
        <v>6998.5905119999989</v>
      </c>
      <c r="N173" s="70">
        <f>L173+M173</f>
        <v>12450.391091999998</v>
      </c>
      <c r="O173" s="71">
        <f t="shared" si="34"/>
        <v>5.558985086144573E-3</v>
      </c>
      <c r="P173" s="12"/>
      <c r="Q173" s="49"/>
      <c r="R173" s="66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12"/>
      <c r="AI173" s="12"/>
      <c r="AJ173" s="12"/>
    </row>
    <row r="174" spans="1:36" ht="20.100000000000001" customHeight="1" x14ac:dyDescent="0.25">
      <c r="A174" s="1"/>
      <c r="B174" s="67" t="s">
        <v>403</v>
      </c>
      <c r="C174" s="67" t="s">
        <v>404</v>
      </c>
      <c r="D174" s="67" t="s">
        <v>38</v>
      </c>
      <c r="E174" s="68" t="s">
        <v>405</v>
      </c>
      <c r="F174" s="67" t="s">
        <v>30</v>
      </c>
      <c r="G174" s="69">
        <v>1351.77</v>
      </c>
      <c r="H174" s="70">
        <v>13.76</v>
      </c>
      <c r="I174" s="70">
        <f>7.99*1.22</f>
        <v>9.7477999999999998</v>
      </c>
      <c r="J174" s="70">
        <f>5.77*1.22</f>
        <v>7.0393999999999997</v>
      </c>
      <c r="K174" s="70">
        <f>I174+J174</f>
        <v>16.787199999999999</v>
      </c>
      <c r="L174" s="70">
        <f>G174*I174</f>
        <v>13176.783605999999</v>
      </c>
      <c r="M174" s="70">
        <f>G174*J174</f>
        <v>9515.6497380000001</v>
      </c>
      <c r="N174" s="70">
        <f>L174+M174</f>
        <v>22692.433343999997</v>
      </c>
      <c r="O174" s="71">
        <f t="shared" si="34"/>
        <v>1.0131962730767673E-2</v>
      </c>
      <c r="P174" s="12"/>
      <c r="Q174" s="49"/>
      <c r="R174" s="66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12"/>
      <c r="AI174" s="12"/>
      <c r="AJ174" s="12"/>
    </row>
    <row r="175" spans="1:36" ht="20.100000000000001" customHeight="1" x14ac:dyDescent="0.25">
      <c r="A175" s="1"/>
      <c r="B175" s="67" t="s">
        <v>406</v>
      </c>
      <c r="C175" s="67" t="s">
        <v>407</v>
      </c>
      <c r="D175" s="67" t="s">
        <v>38</v>
      </c>
      <c r="E175" s="68" t="s">
        <v>408</v>
      </c>
      <c r="F175" s="67" t="s">
        <v>30</v>
      </c>
      <c r="G175" s="69">
        <v>1351.77</v>
      </c>
      <c r="H175" s="70">
        <v>10.76</v>
      </c>
      <c r="I175" s="70">
        <f>5.26*1.22</f>
        <v>6.4171999999999993</v>
      </c>
      <c r="J175" s="70">
        <f>5.5*1.22</f>
        <v>6.71</v>
      </c>
      <c r="K175" s="70">
        <f>I175+J175</f>
        <v>13.127199999999998</v>
      </c>
      <c r="L175" s="70">
        <f>G175*I175</f>
        <v>8674.5784439999989</v>
      </c>
      <c r="M175" s="70">
        <f>G175*J175</f>
        <v>9070.3767000000007</v>
      </c>
      <c r="N175" s="70">
        <f>L175+M175</f>
        <v>17744.955144</v>
      </c>
      <c r="O175" s="71">
        <f t="shared" si="34"/>
        <v>7.9229592284200696E-3</v>
      </c>
      <c r="P175" s="12"/>
      <c r="Q175" s="49"/>
      <c r="R175" s="47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12"/>
      <c r="AI175" s="12"/>
      <c r="AJ175" s="12"/>
    </row>
    <row r="176" spans="1:36" ht="20.100000000000001" customHeight="1" x14ac:dyDescent="0.25">
      <c r="A176" s="1"/>
      <c r="B176" s="67" t="s">
        <v>409</v>
      </c>
      <c r="C176" s="67" t="s">
        <v>410</v>
      </c>
      <c r="D176" s="67" t="s">
        <v>38</v>
      </c>
      <c r="E176" s="68" t="s">
        <v>411</v>
      </c>
      <c r="F176" s="67" t="s">
        <v>30</v>
      </c>
      <c r="G176" s="69">
        <v>726.69</v>
      </c>
      <c r="H176" s="70">
        <v>15</v>
      </c>
      <c r="I176" s="70">
        <f>4.98*1.22</f>
        <v>6.0756000000000006</v>
      </c>
      <c r="J176" s="70">
        <f>10.02*1.22</f>
        <v>12.224399999999999</v>
      </c>
      <c r="K176" s="70">
        <f>I176+J176</f>
        <v>18.3</v>
      </c>
      <c r="L176" s="70">
        <f>G176*I176</f>
        <v>4415.0777640000006</v>
      </c>
      <c r="M176" s="70">
        <f>G176*J176</f>
        <v>8883.349236</v>
      </c>
      <c r="N176" s="70">
        <f>L176+M176</f>
        <v>13298.427</v>
      </c>
      <c r="O176" s="71">
        <f t="shared" si="34"/>
        <v>5.9376253176242249E-3</v>
      </c>
      <c r="P176" s="12"/>
      <c r="Q176" s="49"/>
      <c r="R176" s="66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12"/>
      <c r="AI176" s="12"/>
      <c r="AJ176" s="12"/>
    </row>
    <row r="177" spans="1:36" ht="20.100000000000001" customHeight="1" x14ac:dyDescent="0.25">
      <c r="A177" s="1"/>
      <c r="B177" s="59" t="s">
        <v>412</v>
      </c>
      <c r="C177" s="59"/>
      <c r="D177" s="59"/>
      <c r="E177" s="60" t="s">
        <v>413</v>
      </c>
      <c r="F177" s="60"/>
      <c r="G177" s="61"/>
      <c r="H177" s="62"/>
      <c r="I177" s="60"/>
      <c r="J177" s="60"/>
      <c r="K177" s="60"/>
      <c r="L177" s="60"/>
      <c r="M177" s="60"/>
      <c r="N177" s="63">
        <f>SUM(N178:N179)</f>
        <v>16269.792266</v>
      </c>
      <c r="O177" s="64">
        <f>N177/$N$472</f>
        <v>7.2643125740426608E-3</v>
      </c>
      <c r="P177" s="12"/>
      <c r="Q177" s="49"/>
      <c r="R177" s="66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12"/>
      <c r="AI177" s="12"/>
      <c r="AJ177" s="12"/>
    </row>
    <row r="178" spans="1:36" ht="20.100000000000001" customHeight="1" x14ac:dyDescent="0.25">
      <c r="A178" s="1"/>
      <c r="B178" s="67" t="s">
        <v>414</v>
      </c>
      <c r="C178" s="67" t="s">
        <v>415</v>
      </c>
      <c r="D178" s="67" t="s">
        <v>38</v>
      </c>
      <c r="E178" s="68" t="s">
        <v>416</v>
      </c>
      <c r="F178" s="67" t="s">
        <v>30</v>
      </c>
      <c r="G178" s="69">
        <v>340.81</v>
      </c>
      <c r="H178" s="70">
        <v>25.49</v>
      </c>
      <c r="I178" s="70">
        <f>16.35*1.22</f>
        <v>19.947000000000003</v>
      </c>
      <c r="J178" s="70">
        <f>9.14*1.22</f>
        <v>11.1508</v>
      </c>
      <c r="K178" s="70">
        <f>I178+J178</f>
        <v>31.097800000000003</v>
      </c>
      <c r="L178" s="70">
        <f>G178*I178</f>
        <v>6798.1370700000007</v>
      </c>
      <c r="M178" s="70">
        <f>G178*J178</f>
        <v>3800.3041480000002</v>
      </c>
      <c r="N178" s="70">
        <f>L178+M178</f>
        <v>10598.441218</v>
      </c>
      <c r="O178" s="71">
        <f t="shared" si="34"/>
        <v>4.7321065042767035E-3</v>
      </c>
      <c r="P178" s="12"/>
      <c r="Q178" s="49"/>
      <c r="R178" s="66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12"/>
      <c r="AI178" s="12"/>
      <c r="AJ178" s="12"/>
    </row>
    <row r="179" spans="1:36" ht="20.100000000000001" customHeight="1" x14ac:dyDescent="0.25">
      <c r="A179" s="1"/>
      <c r="B179" s="67" t="s">
        <v>417</v>
      </c>
      <c r="C179" s="67" t="s">
        <v>418</v>
      </c>
      <c r="D179" s="67" t="s">
        <v>38</v>
      </c>
      <c r="E179" s="68" t="s">
        <v>419</v>
      </c>
      <c r="F179" s="67" t="s">
        <v>30</v>
      </c>
      <c r="G179" s="69">
        <v>340.81</v>
      </c>
      <c r="H179" s="70">
        <v>13.64</v>
      </c>
      <c r="I179" s="70">
        <f>7.35*1.22</f>
        <v>8.9669999999999987</v>
      </c>
      <c r="J179" s="70">
        <f>6.29*1.22</f>
        <v>7.6738</v>
      </c>
      <c r="K179" s="70">
        <f>I179+J179</f>
        <v>16.640799999999999</v>
      </c>
      <c r="L179" s="70">
        <f>G179*I179</f>
        <v>3056.0432699999997</v>
      </c>
      <c r="M179" s="70">
        <f>G179*J179</f>
        <v>2615.3077779999999</v>
      </c>
      <c r="N179" s="70">
        <f>L179+M179</f>
        <v>5671.3510479999995</v>
      </c>
      <c r="O179" s="71">
        <f t="shared" si="34"/>
        <v>2.5322060697659564E-3</v>
      </c>
      <c r="P179" s="12"/>
      <c r="Q179" s="49"/>
      <c r="R179" s="66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12"/>
      <c r="AI179" s="12"/>
      <c r="AJ179" s="12"/>
    </row>
    <row r="180" spans="1:36" ht="20.100000000000001" customHeight="1" x14ac:dyDescent="0.25">
      <c r="A180" s="1"/>
      <c r="B180" s="59" t="s">
        <v>420</v>
      </c>
      <c r="C180" s="59"/>
      <c r="D180" s="59"/>
      <c r="E180" s="60" t="s">
        <v>262</v>
      </c>
      <c r="F180" s="60"/>
      <c r="G180" s="61"/>
      <c r="H180" s="62"/>
      <c r="I180" s="60"/>
      <c r="J180" s="60"/>
      <c r="K180" s="60"/>
      <c r="L180" s="60"/>
      <c r="M180" s="60"/>
      <c r="N180" s="63">
        <f>SUM(N181:N182)</f>
        <v>3457.8330680000004</v>
      </c>
      <c r="O180" s="64">
        <f>N180/$N$472</f>
        <v>1.5438906547875966E-3</v>
      </c>
      <c r="P180" s="12"/>
      <c r="Q180" s="49"/>
      <c r="R180" s="66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12"/>
      <c r="AI180" s="12"/>
      <c r="AJ180" s="12"/>
    </row>
    <row r="181" spans="1:36" ht="20.100000000000001" customHeight="1" x14ac:dyDescent="0.25">
      <c r="A181" s="1"/>
      <c r="B181" s="67" t="s">
        <v>421</v>
      </c>
      <c r="C181" s="67" t="s">
        <v>422</v>
      </c>
      <c r="D181" s="67" t="s">
        <v>38</v>
      </c>
      <c r="E181" s="68" t="s">
        <v>423</v>
      </c>
      <c r="F181" s="67" t="s">
        <v>30</v>
      </c>
      <c r="G181" s="69">
        <v>59.06</v>
      </c>
      <c r="H181" s="70">
        <v>28.51</v>
      </c>
      <c r="I181" s="70">
        <f>7.09*1.22</f>
        <v>8.649799999999999</v>
      </c>
      <c r="J181" s="70">
        <f>21.42*1.22</f>
        <v>26.132400000000001</v>
      </c>
      <c r="K181" s="70">
        <f>I181+J181</f>
        <v>34.782200000000003</v>
      </c>
      <c r="L181" s="70">
        <f>G181*I181</f>
        <v>510.85718799999995</v>
      </c>
      <c r="M181" s="70">
        <f>G181*J181</f>
        <v>1543.3795440000001</v>
      </c>
      <c r="N181" s="70">
        <f>L181+M181</f>
        <v>2054.2367320000003</v>
      </c>
      <c r="O181" s="71">
        <f t="shared" si="34"/>
        <v>9.1719780304218334E-4</v>
      </c>
      <c r="P181" s="12"/>
      <c r="Q181" s="49"/>
      <c r="R181" s="66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12"/>
      <c r="AI181" s="12"/>
      <c r="AJ181" s="12"/>
    </row>
    <row r="182" spans="1:36" ht="33" customHeight="1" x14ac:dyDescent="0.25">
      <c r="A182" s="1"/>
      <c r="B182" s="67" t="s">
        <v>424</v>
      </c>
      <c r="C182" s="67" t="s">
        <v>425</v>
      </c>
      <c r="D182" s="67" t="s">
        <v>38</v>
      </c>
      <c r="E182" s="68" t="s">
        <v>426</v>
      </c>
      <c r="F182" s="67" t="s">
        <v>30</v>
      </c>
      <c r="G182" s="69">
        <v>59.06</v>
      </c>
      <c r="H182" s="70">
        <v>20.079999999999998</v>
      </c>
      <c r="I182" s="70">
        <f>9.63*1.22</f>
        <v>11.748600000000001</v>
      </c>
      <c r="J182" s="70">
        <f>9.85*1.22</f>
        <v>12.016999999999999</v>
      </c>
      <c r="K182" s="70">
        <f>I182+J182</f>
        <v>23.765599999999999</v>
      </c>
      <c r="L182" s="70">
        <f>G182*I182</f>
        <v>693.87231600000007</v>
      </c>
      <c r="M182" s="70">
        <f>G182*J182</f>
        <v>709.72402</v>
      </c>
      <c r="N182" s="70">
        <f>L182+M182</f>
        <v>1403.5963360000001</v>
      </c>
      <c r="O182" s="71">
        <f t="shared" si="34"/>
        <v>6.2669285174541311E-4</v>
      </c>
      <c r="P182" s="12"/>
      <c r="Q182" s="49"/>
      <c r="R182" s="66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12"/>
      <c r="AI182" s="12"/>
      <c r="AJ182" s="12"/>
    </row>
    <row r="183" spans="1:36" ht="20.100000000000001" customHeight="1" x14ac:dyDescent="0.25">
      <c r="A183" s="1"/>
      <c r="B183" s="59">
        <v>13</v>
      </c>
      <c r="C183" s="59"/>
      <c r="D183" s="59"/>
      <c r="E183" s="60" t="s">
        <v>427</v>
      </c>
      <c r="F183" s="60"/>
      <c r="G183" s="61"/>
      <c r="H183" s="62"/>
      <c r="I183" s="60"/>
      <c r="J183" s="60"/>
      <c r="K183" s="60"/>
      <c r="L183" s="60"/>
      <c r="M183" s="60"/>
      <c r="N183" s="63">
        <f>N184</f>
        <v>15390.547171999999</v>
      </c>
      <c r="O183" s="64">
        <f>N183/$N$472</f>
        <v>6.8717377281205605E-3</v>
      </c>
      <c r="P183" s="12"/>
      <c r="Q183" s="49"/>
      <c r="R183" s="66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12"/>
      <c r="AI183" s="12"/>
      <c r="AJ183" s="12"/>
    </row>
    <row r="184" spans="1:36" ht="20.100000000000001" customHeight="1" x14ac:dyDescent="0.25">
      <c r="A184" s="1"/>
      <c r="B184" s="67" t="s">
        <v>428</v>
      </c>
      <c r="C184" s="67" t="s">
        <v>429</v>
      </c>
      <c r="D184" s="67" t="s">
        <v>24</v>
      </c>
      <c r="E184" s="68" t="s">
        <v>430</v>
      </c>
      <c r="F184" s="67" t="s">
        <v>30</v>
      </c>
      <c r="G184" s="69">
        <v>13.42</v>
      </c>
      <c r="H184" s="70">
        <v>940.03</v>
      </c>
      <c r="I184" s="70">
        <f>87.04*1.22</f>
        <v>106.1888</v>
      </c>
      <c r="J184" s="70">
        <f>852.99*1.22</f>
        <v>1040.6478</v>
      </c>
      <c r="K184" s="70">
        <f>I184+J184</f>
        <v>1146.8365999999999</v>
      </c>
      <c r="L184" s="70">
        <f>G184*I184</f>
        <v>1425.0536959999999</v>
      </c>
      <c r="M184" s="70">
        <f>G184*J184</f>
        <v>13965.493476</v>
      </c>
      <c r="N184" s="70">
        <f>L184+M184</f>
        <v>15390.547171999999</v>
      </c>
      <c r="O184" s="71">
        <f t="shared" ref="O184:O247" si="39">N184/$N$472</f>
        <v>6.8717377281205605E-3</v>
      </c>
      <c r="P184" s="12"/>
      <c r="Q184" s="49"/>
      <c r="R184" s="66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12"/>
      <c r="AI184" s="12"/>
      <c r="AJ184" s="12"/>
    </row>
    <row r="185" spans="1:36" ht="20.100000000000001" customHeight="1" x14ac:dyDescent="0.25">
      <c r="A185" s="1"/>
      <c r="B185" s="59">
        <v>14</v>
      </c>
      <c r="C185" s="59"/>
      <c r="D185" s="59"/>
      <c r="E185" s="60" t="s">
        <v>431</v>
      </c>
      <c r="F185" s="60"/>
      <c r="G185" s="61"/>
      <c r="H185" s="62"/>
      <c r="I185" s="60"/>
      <c r="J185" s="60"/>
      <c r="K185" s="60"/>
      <c r="L185" s="60"/>
      <c r="M185" s="60"/>
      <c r="N185" s="63">
        <f>N186+N188+N196</f>
        <v>51161.251439999993</v>
      </c>
      <c r="O185" s="64">
        <f>N185/$N$472</f>
        <v>2.2843028113887668E-2</v>
      </c>
      <c r="P185" s="12"/>
      <c r="Q185" s="49"/>
      <c r="R185" s="66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12"/>
      <c r="AI185" s="12"/>
      <c r="AJ185" s="12"/>
    </row>
    <row r="186" spans="1:36" ht="20.100000000000001" customHeight="1" x14ac:dyDescent="0.25">
      <c r="A186" s="1"/>
      <c r="B186" s="59" t="s">
        <v>432</v>
      </c>
      <c r="C186" s="59"/>
      <c r="D186" s="59"/>
      <c r="E186" s="60" t="s">
        <v>433</v>
      </c>
      <c r="F186" s="60"/>
      <c r="G186" s="61"/>
      <c r="H186" s="62"/>
      <c r="I186" s="60"/>
      <c r="J186" s="60"/>
      <c r="K186" s="60"/>
      <c r="L186" s="60"/>
      <c r="M186" s="60"/>
      <c r="N186" s="63">
        <f>SUM(N187)</f>
        <v>261.17759999999998</v>
      </c>
      <c r="O186" s="64">
        <f>N186/$N$472</f>
        <v>1.1661339571637554E-4</v>
      </c>
      <c r="P186" s="12"/>
      <c r="Q186" s="49"/>
      <c r="R186" s="47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12"/>
      <c r="AI186" s="12"/>
      <c r="AJ186" s="12"/>
    </row>
    <row r="187" spans="1:36" ht="20.100000000000001" customHeight="1" x14ac:dyDescent="0.25">
      <c r="A187" s="1"/>
      <c r="B187" s="67" t="s">
        <v>434</v>
      </c>
      <c r="C187" s="67" t="s">
        <v>435</v>
      </c>
      <c r="D187" s="67" t="s">
        <v>38</v>
      </c>
      <c r="E187" s="68" t="s">
        <v>436</v>
      </c>
      <c r="F187" s="67" t="s">
        <v>40</v>
      </c>
      <c r="G187" s="69">
        <v>2</v>
      </c>
      <c r="H187" s="70">
        <v>107.04</v>
      </c>
      <c r="I187" s="70">
        <f>16.05*1.22</f>
        <v>19.581</v>
      </c>
      <c r="J187" s="70">
        <f>90.99*1.22</f>
        <v>111.00779999999999</v>
      </c>
      <c r="K187" s="70">
        <f>I187+J187</f>
        <v>130.58879999999999</v>
      </c>
      <c r="L187" s="70">
        <f>G187*I187</f>
        <v>39.161999999999999</v>
      </c>
      <c r="M187" s="70">
        <f>G187*J187</f>
        <v>222.01559999999998</v>
      </c>
      <c r="N187" s="70">
        <f>L187+M187</f>
        <v>261.17759999999998</v>
      </c>
      <c r="O187" s="71">
        <f t="shared" si="39"/>
        <v>1.1661339571637554E-4</v>
      </c>
      <c r="P187" s="12"/>
      <c r="Q187" s="49"/>
      <c r="R187" s="47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12"/>
      <c r="AI187" s="12"/>
      <c r="AJ187" s="12"/>
    </row>
    <row r="188" spans="1:36" ht="20.100000000000001" customHeight="1" x14ac:dyDescent="0.25">
      <c r="A188" s="1"/>
      <c r="B188" s="59" t="s">
        <v>437</v>
      </c>
      <c r="C188" s="59"/>
      <c r="D188" s="59"/>
      <c r="E188" s="60" t="s">
        <v>438</v>
      </c>
      <c r="F188" s="60"/>
      <c r="G188" s="61"/>
      <c r="H188" s="62"/>
      <c r="I188" s="60"/>
      <c r="J188" s="60"/>
      <c r="K188" s="60"/>
      <c r="L188" s="60"/>
      <c r="M188" s="60"/>
      <c r="N188" s="63">
        <f>SUM(N189:N195)</f>
        <v>14678.490999999998</v>
      </c>
      <c r="O188" s="64">
        <f>N188/$N$472</f>
        <v>6.5538111978295874E-3</v>
      </c>
      <c r="P188" s="12"/>
      <c r="Q188" s="49"/>
      <c r="R188" s="47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12"/>
      <c r="AI188" s="12"/>
      <c r="AJ188" s="12"/>
    </row>
    <row r="189" spans="1:36" ht="33" customHeight="1" x14ac:dyDescent="0.25">
      <c r="A189" s="1"/>
      <c r="B189" s="67" t="s">
        <v>439</v>
      </c>
      <c r="C189" s="67" t="s">
        <v>440</v>
      </c>
      <c r="D189" s="67" t="s">
        <v>38</v>
      </c>
      <c r="E189" s="68" t="s">
        <v>441</v>
      </c>
      <c r="F189" s="67" t="s">
        <v>40</v>
      </c>
      <c r="G189" s="69">
        <v>6</v>
      </c>
      <c r="H189" s="70">
        <v>524.27</v>
      </c>
      <c r="I189" s="70">
        <f>37.49*1.22</f>
        <v>45.7378</v>
      </c>
      <c r="J189" s="70">
        <f>486.78*1.22</f>
        <v>593.87159999999994</v>
      </c>
      <c r="K189" s="70">
        <f t="shared" ref="K189:K195" si="40">I189+J189</f>
        <v>639.60939999999994</v>
      </c>
      <c r="L189" s="70">
        <f t="shared" ref="L189:L195" si="41">G189*I189</f>
        <v>274.42680000000001</v>
      </c>
      <c r="M189" s="70">
        <f t="shared" ref="M189:M195" si="42">G189*J189</f>
        <v>3563.2295999999997</v>
      </c>
      <c r="N189" s="70">
        <f t="shared" ref="N189:N195" si="43">L189+M189</f>
        <v>3837.6563999999998</v>
      </c>
      <c r="O189" s="71">
        <f t="shared" si="39"/>
        <v>1.7134782783695124E-3</v>
      </c>
      <c r="P189" s="12"/>
      <c r="Q189" s="49"/>
      <c r="R189" s="47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12"/>
      <c r="AI189" s="12"/>
      <c r="AJ189" s="12"/>
    </row>
    <row r="190" spans="1:36" ht="20.100000000000001" customHeight="1" x14ac:dyDescent="0.25">
      <c r="A190" s="1"/>
      <c r="B190" s="67" t="s">
        <v>442</v>
      </c>
      <c r="C190" s="67" t="s">
        <v>443</v>
      </c>
      <c r="D190" s="67" t="s">
        <v>24</v>
      </c>
      <c r="E190" s="68" t="s">
        <v>444</v>
      </c>
      <c r="F190" s="67" t="s">
        <v>327</v>
      </c>
      <c r="G190" s="69">
        <v>1</v>
      </c>
      <c r="H190" s="70">
        <v>1074.0999999999999</v>
      </c>
      <c r="I190" s="70">
        <f>74.1*1.22</f>
        <v>90.401999999999987</v>
      </c>
      <c r="J190" s="70">
        <f>1000*1.22</f>
        <v>1220</v>
      </c>
      <c r="K190" s="70">
        <f t="shared" si="40"/>
        <v>1310.402</v>
      </c>
      <c r="L190" s="70">
        <f t="shared" si="41"/>
        <v>90.401999999999987</v>
      </c>
      <c r="M190" s="70">
        <f t="shared" si="42"/>
        <v>1220</v>
      </c>
      <c r="N190" s="70">
        <f t="shared" si="43"/>
        <v>1310.402</v>
      </c>
      <c r="O190" s="71">
        <f t="shared" si="39"/>
        <v>5.8508243805567529E-4</v>
      </c>
      <c r="P190" s="12"/>
      <c r="Q190" s="49"/>
      <c r="R190" s="47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12"/>
      <c r="AI190" s="12"/>
      <c r="AJ190" s="12"/>
    </row>
    <row r="191" spans="1:36" ht="48" customHeight="1" x14ac:dyDescent="0.25">
      <c r="A191" s="1"/>
      <c r="B191" s="67" t="s">
        <v>445</v>
      </c>
      <c r="C191" s="67" t="s">
        <v>446</v>
      </c>
      <c r="D191" s="67" t="s">
        <v>38</v>
      </c>
      <c r="E191" s="68" t="s">
        <v>447</v>
      </c>
      <c r="F191" s="67" t="s">
        <v>40</v>
      </c>
      <c r="G191" s="69">
        <v>13</v>
      </c>
      <c r="H191" s="70">
        <v>422.25</v>
      </c>
      <c r="I191" s="70">
        <f>51.41*1.22</f>
        <v>62.720199999999991</v>
      </c>
      <c r="J191" s="70">
        <f>370.84*1.22</f>
        <v>452.42479999999995</v>
      </c>
      <c r="K191" s="70">
        <f t="shared" si="40"/>
        <v>515.14499999999998</v>
      </c>
      <c r="L191" s="70">
        <f t="shared" si="41"/>
        <v>815.36259999999993</v>
      </c>
      <c r="M191" s="70">
        <f t="shared" si="42"/>
        <v>5881.5223999999989</v>
      </c>
      <c r="N191" s="70">
        <f t="shared" si="43"/>
        <v>6696.8849999999984</v>
      </c>
      <c r="O191" s="71">
        <f t="shared" si="39"/>
        <v>2.9900975450117447E-3</v>
      </c>
      <c r="P191" s="12"/>
      <c r="Q191" s="49"/>
      <c r="R191" s="47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12"/>
      <c r="AI191" s="12"/>
      <c r="AJ191" s="12"/>
    </row>
    <row r="192" spans="1:36" ht="33" customHeight="1" x14ac:dyDescent="0.25">
      <c r="A192" s="1"/>
      <c r="B192" s="67" t="s">
        <v>448</v>
      </c>
      <c r="C192" s="67" t="s">
        <v>449</v>
      </c>
      <c r="D192" s="67" t="s">
        <v>38</v>
      </c>
      <c r="E192" s="68" t="s">
        <v>450</v>
      </c>
      <c r="F192" s="67" t="s">
        <v>40</v>
      </c>
      <c r="G192" s="69">
        <v>1</v>
      </c>
      <c r="H192" s="70">
        <v>875.56</v>
      </c>
      <c r="I192" s="70">
        <f>81.5*1.22</f>
        <v>99.429999999999993</v>
      </c>
      <c r="J192" s="70">
        <f>794.06*1.22</f>
        <v>968.75319999999988</v>
      </c>
      <c r="K192" s="70">
        <f t="shared" si="40"/>
        <v>1068.1831999999999</v>
      </c>
      <c r="L192" s="70">
        <f t="shared" si="41"/>
        <v>99.429999999999993</v>
      </c>
      <c r="M192" s="70">
        <f t="shared" si="42"/>
        <v>968.75319999999988</v>
      </c>
      <c r="N192" s="70">
        <f t="shared" si="43"/>
        <v>1068.1831999999999</v>
      </c>
      <c r="O192" s="71">
        <f t="shared" si="39"/>
        <v>4.7693397212924968E-4</v>
      </c>
      <c r="P192" s="12"/>
      <c r="Q192" s="49"/>
      <c r="R192" s="47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12"/>
      <c r="AI192" s="12"/>
      <c r="AJ192" s="12"/>
    </row>
    <row r="193" spans="1:36" ht="20.100000000000001" customHeight="1" x14ac:dyDescent="0.25">
      <c r="A193" s="1"/>
      <c r="B193" s="67" t="s">
        <v>451</v>
      </c>
      <c r="C193" s="67" t="s">
        <v>452</v>
      </c>
      <c r="D193" s="67" t="s">
        <v>24</v>
      </c>
      <c r="E193" s="68" t="s">
        <v>453</v>
      </c>
      <c r="F193" s="67" t="s">
        <v>40</v>
      </c>
      <c r="G193" s="69">
        <v>1</v>
      </c>
      <c r="H193" s="70">
        <v>240.54</v>
      </c>
      <c r="I193" s="70">
        <f>26.34*1.22</f>
        <v>32.134799999999998</v>
      </c>
      <c r="J193" s="70">
        <f>214.2*1.22</f>
        <v>261.32399999999996</v>
      </c>
      <c r="K193" s="70">
        <f t="shared" si="40"/>
        <v>293.45879999999994</v>
      </c>
      <c r="L193" s="70">
        <f t="shared" si="41"/>
        <v>32.134799999999998</v>
      </c>
      <c r="M193" s="70">
        <f t="shared" si="42"/>
        <v>261.32399999999996</v>
      </c>
      <c r="N193" s="70">
        <f t="shared" si="43"/>
        <v>293.45879999999994</v>
      </c>
      <c r="O193" s="71">
        <f t="shared" si="39"/>
        <v>1.3102665454791185E-4</v>
      </c>
      <c r="P193" s="12"/>
      <c r="Q193" s="49"/>
      <c r="R193" s="47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12"/>
      <c r="AI193" s="12"/>
      <c r="AJ193" s="12"/>
    </row>
    <row r="194" spans="1:36" ht="33" customHeight="1" x14ac:dyDescent="0.25">
      <c r="A194" s="1"/>
      <c r="B194" s="67" t="s">
        <v>454</v>
      </c>
      <c r="C194" s="67" t="s">
        <v>455</v>
      </c>
      <c r="D194" s="67" t="s">
        <v>38</v>
      </c>
      <c r="E194" s="68" t="s">
        <v>456</v>
      </c>
      <c r="F194" s="67" t="s">
        <v>40</v>
      </c>
      <c r="G194" s="69">
        <v>3</v>
      </c>
      <c r="H194" s="70">
        <v>148.41999999999999</v>
      </c>
      <c r="I194" s="70">
        <f>27.52*1.22</f>
        <v>33.574399999999997</v>
      </c>
      <c r="J194" s="70">
        <f>120.9*1.22</f>
        <v>147.49799999999999</v>
      </c>
      <c r="K194" s="70">
        <f t="shared" si="40"/>
        <v>181.07239999999999</v>
      </c>
      <c r="L194" s="70">
        <f t="shared" si="41"/>
        <v>100.72319999999999</v>
      </c>
      <c r="M194" s="70">
        <f t="shared" si="42"/>
        <v>442.49399999999997</v>
      </c>
      <c r="N194" s="70">
        <f t="shared" si="43"/>
        <v>543.21719999999993</v>
      </c>
      <c r="O194" s="71">
        <f t="shared" si="39"/>
        <v>2.4254148251435617E-4</v>
      </c>
      <c r="P194" s="12"/>
      <c r="Q194" s="49"/>
      <c r="R194" s="47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12"/>
      <c r="AI194" s="12"/>
      <c r="AJ194" s="12"/>
    </row>
    <row r="195" spans="1:36" ht="20.100000000000001" customHeight="1" x14ac:dyDescent="0.25">
      <c r="A195" s="1"/>
      <c r="B195" s="67" t="s">
        <v>457</v>
      </c>
      <c r="C195" s="67" t="s">
        <v>458</v>
      </c>
      <c r="D195" s="67" t="s">
        <v>24</v>
      </c>
      <c r="E195" s="68" t="s">
        <v>459</v>
      </c>
      <c r="F195" s="67" t="s">
        <v>327</v>
      </c>
      <c r="G195" s="69">
        <v>6</v>
      </c>
      <c r="H195" s="70">
        <v>126.87</v>
      </c>
      <c r="I195" s="70">
        <f>26.34*1.22</f>
        <v>32.134799999999998</v>
      </c>
      <c r="J195" s="70">
        <f>100.53*1.22</f>
        <v>122.64659999999999</v>
      </c>
      <c r="K195" s="70">
        <f t="shared" si="40"/>
        <v>154.78139999999999</v>
      </c>
      <c r="L195" s="70">
        <f t="shared" si="41"/>
        <v>192.80879999999999</v>
      </c>
      <c r="M195" s="70">
        <f t="shared" si="42"/>
        <v>735.87959999999998</v>
      </c>
      <c r="N195" s="70">
        <f t="shared" si="43"/>
        <v>928.6884</v>
      </c>
      <c r="O195" s="71">
        <f t="shared" si="39"/>
        <v>4.1465082720113693E-4</v>
      </c>
      <c r="P195" s="12"/>
      <c r="Q195" s="49"/>
      <c r="R195" s="47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12"/>
      <c r="AI195" s="12"/>
      <c r="AJ195" s="12"/>
    </row>
    <row r="196" spans="1:36" ht="20.100000000000001" customHeight="1" x14ac:dyDescent="0.25">
      <c r="A196" s="1"/>
      <c r="B196" s="59" t="s">
        <v>460</v>
      </c>
      <c r="C196" s="59"/>
      <c r="D196" s="59"/>
      <c r="E196" s="60" t="s">
        <v>461</v>
      </c>
      <c r="F196" s="60"/>
      <c r="G196" s="61"/>
      <c r="H196" s="62"/>
      <c r="I196" s="60"/>
      <c r="J196" s="60"/>
      <c r="K196" s="60"/>
      <c r="L196" s="60"/>
      <c r="M196" s="60"/>
      <c r="N196" s="63">
        <f>SUM(N197:N210)</f>
        <v>36221.582839999995</v>
      </c>
      <c r="O196" s="64">
        <f>N196/$N$472</f>
        <v>1.6172603520341704E-2</v>
      </c>
      <c r="P196" s="12"/>
      <c r="Q196" s="49"/>
      <c r="R196" s="66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12"/>
      <c r="AI196" s="12"/>
      <c r="AJ196" s="12"/>
    </row>
    <row r="197" spans="1:36" ht="20.100000000000001" customHeight="1" x14ac:dyDescent="0.25">
      <c r="A197" s="1"/>
      <c r="B197" s="67" t="s">
        <v>462</v>
      </c>
      <c r="C197" s="67" t="s">
        <v>463</v>
      </c>
      <c r="D197" s="67" t="s">
        <v>24</v>
      </c>
      <c r="E197" s="68" t="s">
        <v>464</v>
      </c>
      <c r="F197" s="67" t="s">
        <v>30</v>
      </c>
      <c r="G197" s="69">
        <v>7.14</v>
      </c>
      <c r="H197" s="70">
        <v>1358.8</v>
      </c>
      <c r="I197" s="70">
        <f>192.51*1.22</f>
        <v>234.86219999999997</v>
      </c>
      <c r="J197" s="70">
        <f>1166.29*1.22</f>
        <v>1422.8737999999998</v>
      </c>
      <c r="K197" s="70">
        <f>I197+J197</f>
        <v>1657.7359999999999</v>
      </c>
      <c r="L197" s="70">
        <f>G197*I197</f>
        <v>1676.9161079999997</v>
      </c>
      <c r="M197" s="70">
        <f>G197*J197</f>
        <v>10159.318931999998</v>
      </c>
      <c r="N197" s="70">
        <f>L197+M197</f>
        <v>11836.235039999998</v>
      </c>
      <c r="O197" s="71">
        <f t="shared" si="39"/>
        <v>5.2847700588088331E-3</v>
      </c>
      <c r="P197" s="12"/>
      <c r="Q197" s="49"/>
      <c r="R197" s="66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12"/>
      <c r="AI197" s="12"/>
      <c r="AJ197" s="12"/>
    </row>
    <row r="198" spans="1:36" ht="20.100000000000001" customHeight="1" x14ac:dyDescent="0.25">
      <c r="A198" s="1"/>
      <c r="B198" s="67" t="s">
        <v>465</v>
      </c>
      <c r="C198" s="67" t="s">
        <v>466</v>
      </c>
      <c r="D198" s="67" t="s">
        <v>467</v>
      </c>
      <c r="E198" s="68" t="s">
        <v>468</v>
      </c>
      <c r="F198" s="67" t="s">
        <v>327</v>
      </c>
      <c r="G198" s="69">
        <v>1</v>
      </c>
      <c r="H198" s="70">
        <v>2408</v>
      </c>
      <c r="I198" s="70">
        <f>8.13*1.22</f>
        <v>9.9186000000000014</v>
      </c>
      <c r="J198" s="70">
        <f>2401.59*1.22</f>
        <v>2929.9398000000001</v>
      </c>
      <c r="K198" s="70">
        <f>I198+J198</f>
        <v>2939.8584000000001</v>
      </c>
      <c r="L198" s="70">
        <f>G198*I198</f>
        <v>9.9186000000000014</v>
      </c>
      <c r="M198" s="70">
        <f>G198*J198</f>
        <v>2929.9398000000001</v>
      </c>
      <c r="N198" s="70">
        <f>L198+M198</f>
        <v>2939.8584000000001</v>
      </c>
      <c r="O198" s="71">
        <f t="shared" si="39"/>
        <v>1.3126197305944715E-3</v>
      </c>
      <c r="P198" s="12"/>
      <c r="Q198" s="49"/>
      <c r="R198" s="66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12"/>
      <c r="AI198" s="12"/>
      <c r="AJ198" s="12"/>
    </row>
    <row r="199" spans="1:36" ht="33" customHeight="1" x14ac:dyDescent="0.25">
      <c r="A199" s="1"/>
      <c r="B199" s="67" t="s">
        <v>469</v>
      </c>
      <c r="C199" s="67" t="s">
        <v>470</v>
      </c>
      <c r="D199" s="67" t="s">
        <v>38</v>
      </c>
      <c r="E199" s="68" t="s">
        <v>471</v>
      </c>
      <c r="F199" s="67" t="s">
        <v>40</v>
      </c>
      <c r="G199" s="69">
        <v>6</v>
      </c>
      <c r="H199" s="70">
        <v>273.68</v>
      </c>
      <c r="I199" s="70">
        <f>24.77*1.22</f>
        <v>30.2194</v>
      </c>
      <c r="J199" s="70">
        <f>248.91*1.22</f>
        <v>303.67019999999997</v>
      </c>
      <c r="K199" s="70">
        <f t="shared" ref="K199:K210" si="44">I199+J199</f>
        <v>333.88959999999997</v>
      </c>
      <c r="L199" s="70">
        <f t="shared" ref="L199:L210" si="45">G199*I199</f>
        <v>181.31639999999999</v>
      </c>
      <c r="M199" s="70">
        <f t="shared" ref="M199:M210" si="46">G199*J199</f>
        <v>1822.0211999999997</v>
      </c>
      <c r="N199" s="70">
        <f t="shared" ref="N199:N210" si="47">L199+M199</f>
        <v>2003.3375999999996</v>
      </c>
      <c r="O199" s="71">
        <f t="shared" si="39"/>
        <v>8.9447180884690729E-4</v>
      </c>
      <c r="P199" s="12"/>
      <c r="Q199" s="49"/>
      <c r="R199" s="47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12"/>
      <c r="AI199" s="12"/>
      <c r="AJ199" s="12"/>
    </row>
    <row r="200" spans="1:36" ht="20.100000000000001" customHeight="1" x14ac:dyDescent="0.25">
      <c r="A200" s="1"/>
      <c r="B200" s="67" t="s">
        <v>472</v>
      </c>
      <c r="C200" s="67" t="s">
        <v>473</v>
      </c>
      <c r="D200" s="67" t="s">
        <v>38</v>
      </c>
      <c r="E200" s="68" t="s">
        <v>474</v>
      </c>
      <c r="F200" s="67" t="s">
        <v>40</v>
      </c>
      <c r="G200" s="69">
        <v>5</v>
      </c>
      <c r="H200" s="70">
        <v>52.28</v>
      </c>
      <c r="I200" s="70">
        <f>5.46*1.22</f>
        <v>6.6612</v>
      </c>
      <c r="J200" s="70">
        <f>46.82*1.22</f>
        <v>57.120399999999997</v>
      </c>
      <c r="K200" s="70">
        <f t="shared" si="44"/>
        <v>63.781599999999997</v>
      </c>
      <c r="L200" s="70">
        <f t="shared" si="45"/>
        <v>33.305999999999997</v>
      </c>
      <c r="M200" s="70">
        <f t="shared" si="46"/>
        <v>285.60199999999998</v>
      </c>
      <c r="N200" s="70">
        <f t="shared" si="47"/>
        <v>318.90799999999996</v>
      </c>
      <c r="O200" s="71">
        <f t="shared" si="39"/>
        <v>1.4238948822991668E-4</v>
      </c>
      <c r="P200" s="12"/>
      <c r="Q200" s="49"/>
      <c r="R200" s="47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12"/>
      <c r="AI200" s="12"/>
      <c r="AJ200" s="12"/>
    </row>
    <row r="201" spans="1:36" ht="20.100000000000001" customHeight="1" x14ac:dyDescent="0.25">
      <c r="A201" s="1"/>
      <c r="B201" s="67" t="s">
        <v>475</v>
      </c>
      <c r="C201" s="67" t="s">
        <v>476</v>
      </c>
      <c r="D201" s="67" t="s">
        <v>24</v>
      </c>
      <c r="E201" s="68" t="s">
        <v>477</v>
      </c>
      <c r="F201" s="67" t="s">
        <v>327</v>
      </c>
      <c r="G201" s="69">
        <v>2</v>
      </c>
      <c r="H201" s="70">
        <v>346.86</v>
      </c>
      <c r="I201" s="70">
        <f>20.09*1.22</f>
        <v>24.509799999999998</v>
      </c>
      <c r="J201" s="70">
        <f>326.77*1.22</f>
        <v>398.65939999999995</v>
      </c>
      <c r="K201" s="70">
        <f t="shared" si="44"/>
        <v>423.16919999999993</v>
      </c>
      <c r="L201" s="70">
        <f t="shared" si="45"/>
        <v>49.019599999999997</v>
      </c>
      <c r="M201" s="70">
        <f t="shared" si="46"/>
        <v>797.3187999999999</v>
      </c>
      <c r="N201" s="70">
        <f t="shared" si="47"/>
        <v>846.33839999999987</v>
      </c>
      <c r="O201" s="71">
        <f t="shared" si="39"/>
        <v>3.7788230977374828E-4</v>
      </c>
      <c r="P201" s="12"/>
      <c r="Q201" s="49"/>
      <c r="R201" s="47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12"/>
      <c r="AI201" s="12"/>
      <c r="AJ201" s="12"/>
    </row>
    <row r="202" spans="1:36" ht="20.100000000000001" customHeight="1" x14ac:dyDescent="0.25">
      <c r="A202" s="1"/>
      <c r="B202" s="67" t="s">
        <v>478</v>
      </c>
      <c r="C202" s="67" t="s">
        <v>479</v>
      </c>
      <c r="D202" s="67" t="s">
        <v>24</v>
      </c>
      <c r="E202" s="68" t="s">
        <v>480</v>
      </c>
      <c r="F202" s="67" t="s">
        <v>40</v>
      </c>
      <c r="G202" s="69">
        <v>6</v>
      </c>
      <c r="H202" s="70">
        <v>360.65</v>
      </c>
      <c r="I202" s="70">
        <f>73.74*1.22</f>
        <v>89.962799999999987</v>
      </c>
      <c r="J202" s="70">
        <f>286.91*1.22</f>
        <v>350.03020000000004</v>
      </c>
      <c r="K202" s="70">
        <f t="shared" si="44"/>
        <v>439.99300000000005</v>
      </c>
      <c r="L202" s="70">
        <f t="shared" si="45"/>
        <v>539.77679999999987</v>
      </c>
      <c r="M202" s="70">
        <f t="shared" si="46"/>
        <v>2100.1812</v>
      </c>
      <c r="N202" s="70">
        <f t="shared" si="47"/>
        <v>2639.9579999999996</v>
      </c>
      <c r="O202" s="71">
        <f t="shared" si="39"/>
        <v>1.1787169609055728E-3</v>
      </c>
      <c r="P202" s="12"/>
      <c r="Q202" s="49"/>
      <c r="R202" s="47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12"/>
      <c r="AI202" s="12"/>
      <c r="AJ202" s="12"/>
    </row>
    <row r="203" spans="1:36" ht="20.100000000000001" customHeight="1" x14ac:dyDescent="0.25">
      <c r="A203" s="1"/>
      <c r="B203" s="67" t="s">
        <v>481</v>
      </c>
      <c r="C203" s="67" t="s">
        <v>482</v>
      </c>
      <c r="D203" s="67" t="s">
        <v>24</v>
      </c>
      <c r="E203" s="68" t="s">
        <v>483</v>
      </c>
      <c r="F203" s="67" t="s">
        <v>327</v>
      </c>
      <c r="G203" s="69">
        <v>22</v>
      </c>
      <c r="H203" s="70">
        <v>151.93</v>
      </c>
      <c r="I203" s="70">
        <f>20.09*1.22</f>
        <v>24.509799999999998</v>
      </c>
      <c r="J203" s="70">
        <f>131.87*1.22</f>
        <v>160.88140000000001</v>
      </c>
      <c r="K203" s="70">
        <f t="shared" si="44"/>
        <v>185.39120000000003</v>
      </c>
      <c r="L203" s="70">
        <f t="shared" si="45"/>
        <v>539.21559999999999</v>
      </c>
      <c r="M203" s="70">
        <f t="shared" si="46"/>
        <v>3539.3908000000001</v>
      </c>
      <c r="N203" s="70">
        <f t="shared" si="47"/>
        <v>4078.6064000000001</v>
      </c>
      <c r="O203" s="71">
        <f t="shared" si="39"/>
        <v>1.821060236768168E-3</v>
      </c>
      <c r="P203" s="12"/>
      <c r="Q203" s="49"/>
      <c r="R203" s="66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12"/>
      <c r="AI203" s="12"/>
      <c r="AJ203" s="12"/>
    </row>
    <row r="204" spans="1:36" ht="33" customHeight="1" x14ac:dyDescent="0.25">
      <c r="A204" s="1"/>
      <c r="B204" s="67" t="s">
        <v>484</v>
      </c>
      <c r="C204" s="67" t="s">
        <v>485</v>
      </c>
      <c r="D204" s="67" t="s">
        <v>24</v>
      </c>
      <c r="E204" s="68" t="s">
        <v>486</v>
      </c>
      <c r="F204" s="67" t="s">
        <v>327</v>
      </c>
      <c r="G204" s="69">
        <v>1</v>
      </c>
      <c r="H204" s="70">
        <v>697.47</v>
      </c>
      <c r="I204" s="70">
        <f>20.09*1.22</f>
        <v>24.509799999999998</v>
      </c>
      <c r="J204" s="70">
        <f>677.38*1.22</f>
        <v>826.40359999999998</v>
      </c>
      <c r="K204" s="70">
        <f t="shared" si="44"/>
        <v>850.91340000000002</v>
      </c>
      <c r="L204" s="70">
        <f t="shared" si="45"/>
        <v>24.509799999999998</v>
      </c>
      <c r="M204" s="70">
        <f t="shared" si="46"/>
        <v>826.40359999999998</v>
      </c>
      <c r="N204" s="70">
        <f t="shared" si="47"/>
        <v>850.91340000000002</v>
      </c>
      <c r="O204" s="71">
        <f t="shared" si="39"/>
        <v>3.7992500518638103E-4</v>
      </c>
      <c r="P204" s="12"/>
      <c r="Q204" s="49"/>
      <c r="R204" s="66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12"/>
      <c r="AI204" s="12"/>
      <c r="AJ204" s="12"/>
    </row>
    <row r="205" spans="1:36" ht="19.5" customHeight="1" x14ac:dyDescent="0.25">
      <c r="A205" s="1"/>
      <c r="B205" s="67" t="s">
        <v>487</v>
      </c>
      <c r="C205" s="67" t="s">
        <v>488</v>
      </c>
      <c r="D205" s="67" t="s">
        <v>24</v>
      </c>
      <c r="E205" s="68" t="s">
        <v>489</v>
      </c>
      <c r="F205" s="67" t="s">
        <v>327</v>
      </c>
      <c r="G205" s="69">
        <v>6</v>
      </c>
      <c r="H205" s="70">
        <v>238.57</v>
      </c>
      <c r="I205" s="70">
        <f>26.34*1.22</f>
        <v>32.134799999999998</v>
      </c>
      <c r="J205" s="70">
        <f>212.23*1.22</f>
        <v>258.92059999999998</v>
      </c>
      <c r="K205" s="70">
        <f t="shared" si="44"/>
        <v>291.05539999999996</v>
      </c>
      <c r="L205" s="70">
        <f t="shared" si="45"/>
        <v>192.80879999999999</v>
      </c>
      <c r="M205" s="70">
        <f t="shared" si="46"/>
        <v>1553.5236</v>
      </c>
      <c r="N205" s="70">
        <f t="shared" si="47"/>
        <v>1746.3324</v>
      </c>
      <c r="O205" s="71">
        <f t="shared" si="39"/>
        <v>7.7972135134685302E-4</v>
      </c>
      <c r="P205" s="12"/>
      <c r="Q205" s="49"/>
      <c r="R205" s="47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12"/>
      <c r="AI205" s="12"/>
      <c r="AJ205" s="12"/>
    </row>
    <row r="206" spans="1:36" ht="33" customHeight="1" x14ac:dyDescent="0.25">
      <c r="A206" s="1"/>
      <c r="B206" s="67" t="s">
        <v>490</v>
      </c>
      <c r="C206" s="67" t="s">
        <v>491</v>
      </c>
      <c r="D206" s="67" t="s">
        <v>24</v>
      </c>
      <c r="E206" s="68" t="s">
        <v>492</v>
      </c>
      <c r="F206" s="67" t="s">
        <v>327</v>
      </c>
      <c r="G206" s="69">
        <v>8</v>
      </c>
      <c r="H206" s="70">
        <v>162.07</v>
      </c>
      <c r="I206" s="70">
        <f>14.26*1.22</f>
        <v>17.397199999999998</v>
      </c>
      <c r="J206" s="70">
        <f>147.81*1.22</f>
        <v>180.32820000000001</v>
      </c>
      <c r="K206" s="70">
        <f t="shared" si="44"/>
        <v>197.72540000000001</v>
      </c>
      <c r="L206" s="70">
        <f t="shared" si="45"/>
        <v>139.17759999999998</v>
      </c>
      <c r="M206" s="70">
        <f t="shared" si="46"/>
        <v>1442.6256000000001</v>
      </c>
      <c r="N206" s="70">
        <f t="shared" si="47"/>
        <v>1581.8032000000001</v>
      </c>
      <c r="O206" s="71">
        <f t="shared" si="39"/>
        <v>7.0626057712081414E-4</v>
      </c>
      <c r="P206" s="12"/>
      <c r="Q206" s="49"/>
      <c r="R206" s="47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12"/>
      <c r="AI206" s="12"/>
      <c r="AJ206" s="12"/>
    </row>
    <row r="207" spans="1:36" ht="33" customHeight="1" x14ac:dyDescent="0.25">
      <c r="A207" s="1"/>
      <c r="B207" s="67" t="s">
        <v>493</v>
      </c>
      <c r="C207" s="67" t="s">
        <v>329</v>
      </c>
      <c r="D207" s="67" t="s">
        <v>24</v>
      </c>
      <c r="E207" s="68" t="s">
        <v>494</v>
      </c>
      <c r="F207" s="67" t="s">
        <v>327</v>
      </c>
      <c r="G207" s="69">
        <v>8</v>
      </c>
      <c r="H207" s="70">
        <v>150.63</v>
      </c>
      <c r="I207" s="70">
        <f>14.26*1.22</f>
        <v>17.397199999999998</v>
      </c>
      <c r="J207" s="70">
        <f>136.37*1.22</f>
        <v>166.37139999999999</v>
      </c>
      <c r="K207" s="70">
        <f t="shared" si="44"/>
        <v>183.76859999999999</v>
      </c>
      <c r="L207" s="70">
        <f t="shared" si="45"/>
        <v>139.17759999999998</v>
      </c>
      <c r="M207" s="70">
        <f t="shared" si="46"/>
        <v>1330.9712</v>
      </c>
      <c r="N207" s="70">
        <f t="shared" si="47"/>
        <v>1470.1487999999999</v>
      </c>
      <c r="O207" s="71">
        <f t="shared" si="39"/>
        <v>6.5640791467704213E-4</v>
      </c>
      <c r="P207" s="12"/>
      <c r="Q207" s="49"/>
      <c r="R207" s="47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12"/>
      <c r="AI207" s="12"/>
      <c r="AJ207" s="12"/>
    </row>
    <row r="208" spans="1:36" ht="33" customHeight="1" x14ac:dyDescent="0.25">
      <c r="A208" s="1"/>
      <c r="B208" s="67" t="s">
        <v>495</v>
      </c>
      <c r="C208" s="67" t="s">
        <v>496</v>
      </c>
      <c r="D208" s="67" t="s">
        <v>38</v>
      </c>
      <c r="E208" s="68" t="s">
        <v>497</v>
      </c>
      <c r="F208" s="67" t="s">
        <v>40</v>
      </c>
      <c r="G208" s="69">
        <v>4</v>
      </c>
      <c r="H208" s="70">
        <v>352.86</v>
      </c>
      <c r="I208" s="70">
        <f>34.06*1.22</f>
        <v>41.553200000000004</v>
      </c>
      <c r="J208" s="70">
        <f>318.8*1.22</f>
        <v>388.93599999999998</v>
      </c>
      <c r="K208" s="70">
        <f t="shared" si="44"/>
        <v>430.48919999999998</v>
      </c>
      <c r="L208" s="70">
        <f t="shared" si="45"/>
        <v>166.21280000000002</v>
      </c>
      <c r="M208" s="70">
        <f t="shared" si="46"/>
        <v>1555.7439999999999</v>
      </c>
      <c r="N208" s="70">
        <f t="shared" si="47"/>
        <v>1721.9567999999999</v>
      </c>
      <c r="O208" s="71">
        <f t="shared" si="39"/>
        <v>7.6883787018834594E-4</v>
      </c>
      <c r="P208" s="12"/>
      <c r="Q208" s="49"/>
      <c r="R208" s="47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12"/>
      <c r="AI208" s="12"/>
      <c r="AJ208" s="12"/>
    </row>
    <row r="209" spans="1:36" ht="20.100000000000001" customHeight="1" x14ac:dyDescent="0.25">
      <c r="A209" s="1"/>
      <c r="B209" s="67" t="s">
        <v>498</v>
      </c>
      <c r="C209" s="67" t="s">
        <v>499</v>
      </c>
      <c r="D209" s="67" t="s">
        <v>24</v>
      </c>
      <c r="E209" s="68" t="s">
        <v>500</v>
      </c>
      <c r="F209" s="67" t="s">
        <v>40</v>
      </c>
      <c r="G209" s="69">
        <v>19</v>
      </c>
      <c r="H209" s="70">
        <v>85.32</v>
      </c>
      <c r="I209" s="70">
        <f>52.67*1.22</f>
        <v>64.257400000000004</v>
      </c>
      <c r="J209" s="70">
        <f>32.65*1.22</f>
        <v>39.832999999999998</v>
      </c>
      <c r="K209" s="70">
        <f t="shared" si="44"/>
        <v>104.0904</v>
      </c>
      <c r="L209" s="70">
        <f t="shared" si="45"/>
        <v>1220.8906000000002</v>
      </c>
      <c r="M209" s="70">
        <f t="shared" si="46"/>
        <v>756.827</v>
      </c>
      <c r="N209" s="70">
        <f t="shared" si="47"/>
        <v>1977.7176000000002</v>
      </c>
      <c r="O209" s="71">
        <f t="shared" si="39"/>
        <v>8.8303271453616446E-4</v>
      </c>
      <c r="P209" s="12"/>
      <c r="Q209" s="49"/>
      <c r="R209" s="47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12"/>
      <c r="AI209" s="12"/>
      <c r="AJ209" s="12"/>
    </row>
    <row r="210" spans="1:36" ht="33" customHeight="1" x14ac:dyDescent="0.25">
      <c r="A210" s="1"/>
      <c r="B210" s="67" t="s">
        <v>501</v>
      </c>
      <c r="C210" s="67" t="s">
        <v>502</v>
      </c>
      <c r="D210" s="67" t="s">
        <v>503</v>
      </c>
      <c r="E210" s="68" t="s">
        <v>504</v>
      </c>
      <c r="F210" s="67" t="s">
        <v>40</v>
      </c>
      <c r="G210" s="69">
        <v>4</v>
      </c>
      <c r="H210" s="70">
        <v>452.76</v>
      </c>
      <c r="I210" s="70">
        <f>90.55*1.22</f>
        <v>110.47099999999999</v>
      </c>
      <c r="J210" s="70">
        <f>362.21*1.22</f>
        <v>441.89619999999996</v>
      </c>
      <c r="K210" s="70">
        <f t="shared" si="44"/>
        <v>552.36719999999991</v>
      </c>
      <c r="L210" s="70">
        <f t="shared" si="45"/>
        <v>441.88399999999996</v>
      </c>
      <c r="M210" s="70">
        <f t="shared" si="46"/>
        <v>1767.5847999999999</v>
      </c>
      <c r="N210" s="70">
        <f t="shared" si="47"/>
        <v>2209.4687999999996</v>
      </c>
      <c r="O210" s="71">
        <f t="shared" si="39"/>
        <v>9.8650749335848619E-4</v>
      </c>
      <c r="P210" s="12"/>
      <c r="Q210" s="49"/>
      <c r="R210" s="47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12"/>
      <c r="AI210" s="12"/>
      <c r="AJ210" s="12"/>
    </row>
    <row r="211" spans="1:36" ht="20.100000000000001" customHeight="1" x14ac:dyDescent="0.25">
      <c r="A211" s="1"/>
      <c r="B211" s="59">
        <v>15</v>
      </c>
      <c r="C211" s="59"/>
      <c r="D211" s="59"/>
      <c r="E211" s="60" t="s">
        <v>505</v>
      </c>
      <c r="F211" s="60"/>
      <c r="G211" s="61"/>
      <c r="H211" s="62"/>
      <c r="I211" s="60"/>
      <c r="J211" s="60"/>
      <c r="K211" s="60"/>
      <c r="L211" s="60"/>
      <c r="M211" s="60"/>
      <c r="N211" s="63">
        <f>N212+N254+N293+N310</f>
        <v>171640.21336560001</v>
      </c>
      <c r="O211" s="64">
        <f>N211/$N$472</f>
        <v>7.6635776276548384E-2</v>
      </c>
      <c r="P211" s="12"/>
      <c r="Q211" s="49"/>
      <c r="R211" s="47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12"/>
      <c r="AI211" s="12"/>
      <c r="AJ211" s="12"/>
    </row>
    <row r="212" spans="1:36" ht="20.100000000000001" customHeight="1" x14ac:dyDescent="0.25">
      <c r="A212" s="1"/>
      <c r="B212" s="59" t="s">
        <v>506</v>
      </c>
      <c r="C212" s="59"/>
      <c r="D212" s="59"/>
      <c r="E212" s="60" t="s">
        <v>507</v>
      </c>
      <c r="F212" s="60"/>
      <c r="G212" s="61"/>
      <c r="H212" s="62"/>
      <c r="I212" s="60"/>
      <c r="J212" s="60"/>
      <c r="K212" s="60"/>
      <c r="L212" s="60"/>
      <c r="M212" s="60"/>
      <c r="N212" s="63">
        <f>SUM(N213:N253)</f>
        <v>62618.207365600007</v>
      </c>
      <c r="O212" s="64">
        <f>N212/$N$472</f>
        <v>2.79584535372665E-2</v>
      </c>
      <c r="P212" s="12"/>
      <c r="Q212" s="49"/>
      <c r="R212" s="47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12"/>
      <c r="AI212" s="12"/>
      <c r="AJ212" s="12"/>
    </row>
    <row r="213" spans="1:36" ht="33" customHeight="1" x14ac:dyDescent="0.25">
      <c r="A213" s="1"/>
      <c r="B213" s="67" t="s">
        <v>508</v>
      </c>
      <c r="C213" s="67">
        <v>97131</v>
      </c>
      <c r="D213" s="67" t="s">
        <v>38</v>
      </c>
      <c r="E213" s="68" t="s">
        <v>509</v>
      </c>
      <c r="F213" s="67" t="s">
        <v>40</v>
      </c>
      <c r="G213" s="69">
        <v>1</v>
      </c>
      <c r="H213" s="70">
        <v>49.44</v>
      </c>
      <c r="I213" s="70">
        <f>28.13*1.22</f>
        <v>34.318599999999996</v>
      </c>
      <c r="J213" s="70">
        <f>21.31*1.22</f>
        <v>25.998199999999997</v>
      </c>
      <c r="K213" s="70">
        <f t="shared" ref="K213:K249" si="48">I213+J213</f>
        <v>60.316799999999994</v>
      </c>
      <c r="L213" s="70">
        <f t="shared" ref="L213:L249" si="49">G213*I213</f>
        <v>34.318599999999996</v>
      </c>
      <c r="M213" s="70">
        <f t="shared" ref="M213:M249" si="50">G213*J213</f>
        <v>25.998199999999997</v>
      </c>
      <c r="N213" s="70">
        <f t="shared" ref="N213:N249" si="51">L213+M213</f>
        <v>60.316799999999994</v>
      </c>
      <c r="O213" s="71">
        <f t="shared" si="39"/>
        <v>2.6930896320149505E-5</v>
      </c>
      <c r="P213" s="12"/>
      <c r="Q213" s="49"/>
      <c r="R213" s="47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12"/>
      <c r="AI213" s="12"/>
      <c r="AJ213" s="12"/>
    </row>
    <row r="214" spans="1:36" ht="20.100000000000001" customHeight="1" x14ac:dyDescent="0.25">
      <c r="A214" s="1"/>
      <c r="B214" s="67" t="s">
        <v>510</v>
      </c>
      <c r="C214" s="67" t="s">
        <v>511</v>
      </c>
      <c r="D214" s="67" t="s">
        <v>38</v>
      </c>
      <c r="E214" s="68" t="s">
        <v>512</v>
      </c>
      <c r="F214" s="67" t="s">
        <v>40</v>
      </c>
      <c r="G214" s="69">
        <v>1</v>
      </c>
      <c r="H214" s="70">
        <v>81.41</v>
      </c>
      <c r="I214" s="70">
        <f>13.84*1.22</f>
        <v>16.884799999999998</v>
      </c>
      <c r="J214" s="70">
        <f>67.57*1.22</f>
        <v>82.435399999999987</v>
      </c>
      <c r="K214" s="70">
        <f t="shared" si="48"/>
        <v>99.320199999999986</v>
      </c>
      <c r="L214" s="70">
        <f t="shared" si="49"/>
        <v>16.884799999999998</v>
      </c>
      <c r="M214" s="70">
        <f t="shared" si="50"/>
        <v>82.435399999999987</v>
      </c>
      <c r="N214" s="70">
        <f t="shared" si="51"/>
        <v>99.320199999999986</v>
      </c>
      <c r="O214" s="71">
        <f t="shared" si="39"/>
        <v>4.4345555611314142E-5</v>
      </c>
      <c r="P214" s="12"/>
      <c r="Q214" s="49"/>
      <c r="R214" s="47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12"/>
      <c r="AI214" s="12"/>
      <c r="AJ214" s="12"/>
    </row>
    <row r="215" spans="1:36" ht="20.100000000000001" customHeight="1" x14ac:dyDescent="0.25">
      <c r="A215" s="1"/>
      <c r="B215" s="67" t="s">
        <v>513</v>
      </c>
      <c r="C215" s="67" t="s">
        <v>514</v>
      </c>
      <c r="D215" s="67" t="s">
        <v>38</v>
      </c>
      <c r="E215" s="68" t="s">
        <v>515</v>
      </c>
      <c r="F215" s="67" t="s">
        <v>40</v>
      </c>
      <c r="G215" s="69">
        <v>1</v>
      </c>
      <c r="H215" s="70">
        <v>71.709999999999994</v>
      </c>
      <c r="I215" s="70">
        <f>5.94*1.22</f>
        <v>7.2468000000000004</v>
      </c>
      <c r="J215" s="70">
        <f>65.77*1.22</f>
        <v>80.239399999999989</v>
      </c>
      <c r="K215" s="70">
        <f t="shared" si="48"/>
        <v>87.486199999999997</v>
      </c>
      <c r="L215" s="70">
        <f t="shared" si="49"/>
        <v>7.2468000000000004</v>
      </c>
      <c r="M215" s="70">
        <f t="shared" si="50"/>
        <v>80.239399999999989</v>
      </c>
      <c r="N215" s="70">
        <f t="shared" si="51"/>
        <v>87.486199999999997</v>
      </c>
      <c r="O215" s="71">
        <f t="shared" si="39"/>
        <v>3.9061783477304231E-5</v>
      </c>
      <c r="P215" s="12"/>
      <c r="Q215" s="49"/>
      <c r="R215" s="47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12"/>
      <c r="AI215" s="12"/>
      <c r="AJ215" s="12"/>
    </row>
    <row r="216" spans="1:36" ht="33" customHeight="1" x14ac:dyDescent="0.25">
      <c r="A216" s="1"/>
      <c r="B216" s="67" t="s">
        <v>516</v>
      </c>
      <c r="C216" s="67" t="s">
        <v>517</v>
      </c>
      <c r="D216" s="67" t="s">
        <v>38</v>
      </c>
      <c r="E216" s="68" t="s">
        <v>518</v>
      </c>
      <c r="F216" s="67" t="s">
        <v>40</v>
      </c>
      <c r="G216" s="69">
        <v>1</v>
      </c>
      <c r="H216" s="70">
        <v>50.19</v>
      </c>
      <c r="I216" s="70">
        <f>9.91*1.22</f>
        <v>12.090199999999999</v>
      </c>
      <c r="J216" s="70">
        <f>40.28*1.22</f>
        <v>49.141599999999997</v>
      </c>
      <c r="K216" s="70">
        <f t="shared" si="48"/>
        <v>61.231799999999993</v>
      </c>
      <c r="L216" s="70">
        <f t="shared" si="49"/>
        <v>12.090199999999999</v>
      </c>
      <c r="M216" s="70">
        <f t="shared" si="50"/>
        <v>49.141599999999997</v>
      </c>
      <c r="N216" s="70">
        <f t="shared" si="51"/>
        <v>61.231799999999993</v>
      </c>
      <c r="O216" s="71">
        <f t="shared" si="39"/>
        <v>2.7339435402676045E-5</v>
      </c>
      <c r="P216" s="12"/>
      <c r="Q216" s="49"/>
      <c r="R216" s="47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12"/>
      <c r="AI216" s="12"/>
      <c r="AJ216" s="12"/>
    </row>
    <row r="217" spans="1:36" ht="48" customHeight="1" x14ac:dyDescent="0.25">
      <c r="A217" s="1"/>
      <c r="B217" s="67" t="s">
        <v>519</v>
      </c>
      <c r="C217" s="67" t="s">
        <v>520</v>
      </c>
      <c r="D217" s="67" t="s">
        <v>38</v>
      </c>
      <c r="E217" s="68" t="s">
        <v>521</v>
      </c>
      <c r="F217" s="67" t="s">
        <v>40</v>
      </c>
      <c r="G217" s="69">
        <v>3</v>
      </c>
      <c r="H217" s="70">
        <v>12.08</v>
      </c>
      <c r="I217" s="70">
        <f>4.94*1.22</f>
        <v>6.0268000000000006</v>
      </c>
      <c r="J217" s="70">
        <f>8.16*1.22</f>
        <v>9.9551999999999996</v>
      </c>
      <c r="K217" s="70">
        <f t="shared" si="48"/>
        <v>15.981999999999999</v>
      </c>
      <c r="L217" s="70">
        <f t="shared" si="49"/>
        <v>18.080400000000001</v>
      </c>
      <c r="M217" s="70">
        <f t="shared" si="50"/>
        <v>29.865600000000001</v>
      </c>
      <c r="N217" s="70">
        <f t="shared" si="51"/>
        <v>47.945999999999998</v>
      </c>
      <c r="O217" s="71">
        <f t="shared" si="39"/>
        <v>2.1407447924390691E-5</v>
      </c>
      <c r="P217" s="12"/>
      <c r="Q217" s="49"/>
      <c r="R217" s="47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12"/>
      <c r="AI217" s="12"/>
      <c r="AJ217" s="12"/>
    </row>
    <row r="218" spans="1:36" ht="33" customHeight="1" x14ac:dyDescent="0.25">
      <c r="A218" s="1"/>
      <c r="B218" s="67" t="s">
        <v>522</v>
      </c>
      <c r="C218" s="67" t="s">
        <v>523</v>
      </c>
      <c r="D218" s="67" t="s">
        <v>38</v>
      </c>
      <c r="E218" s="68" t="s">
        <v>524</v>
      </c>
      <c r="F218" s="67" t="s">
        <v>40</v>
      </c>
      <c r="G218" s="69">
        <v>17</v>
      </c>
      <c r="H218" s="70">
        <v>31.16</v>
      </c>
      <c r="I218" s="70">
        <f>12.07*1.22</f>
        <v>14.7254</v>
      </c>
      <c r="J218" s="70">
        <f>19.09*1.22</f>
        <v>23.2898</v>
      </c>
      <c r="K218" s="70">
        <f t="shared" si="48"/>
        <v>38.0152</v>
      </c>
      <c r="L218" s="70">
        <f t="shared" si="49"/>
        <v>250.33180000000002</v>
      </c>
      <c r="M218" s="70">
        <f t="shared" si="50"/>
        <v>395.92660000000001</v>
      </c>
      <c r="N218" s="70">
        <f t="shared" si="51"/>
        <v>646.25840000000005</v>
      </c>
      <c r="O218" s="71">
        <f t="shared" si="39"/>
        <v>2.8854843039461162E-4</v>
      </c>
      <c r="P218" s="12"/>
      <c r="Q218" s="49"/>
      <c r="R218" s="47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12"/>
      <c r="AI218" s="12"/>
      <c r="AJ218" s="12"/>
    </row>
    <row r="219" spans="1:36" ht="33" customHeight="1" x14ac:dyDescent="0.25">
      <c r="A219" s="1"/>
      <c r="B219" s="67" t="s">
        <v>525</v>
      </c>
      <c r="C219" s="67" t="s">
        <v>526</v>
      </c>
      <c r="D219" s="67" t="s">
        <v>38</v>
      </c>
      <c r="E219" s="68" t="s">
        <v>527</v>
      </c>
      <c r="F219" s="67" t="s">
        <v>73</v>
      </c>
      <c r="G219" s="69">
        <v>54.4</v>
      </c>
      <c r="H219" s="70">
        <v>34.57</v>
      </c>
      <c r="I219" s="70">
        <f>14.08*1.22</f>
        <v>17.177599999999998</v>
      </c>
      <c r="J219" s="70">
        <f>20.49*1.22</f>
        <v>24.997799999999998</v>
      </c>
      <c r="K219" s="70">
        <f t="shared" si="48"/>
        <v>42.175399999999996</v>
      </c>
      <c r="L219" s="70">
        <f t="shared" si="49"/>
        <v>934.46143999999993</v>
      </c>
      <c r="M219" s="70">
        <f t="shared" si="50"/>
        <v>1359.8803199999998</v>
      </c>
      <c r="N219" s="70">
        <f t="shared" si="51"/>
        <v>2294.3417599999998</v>
      </c>
      <c r="O219" s="71">
        <f t="shared" si="39"/>
        <v>1.0244024892160947E-3</v>
      </c>
      <c r="P219" s="12"/>
      <c r="Q219" s="49"/>
      <c r="R219" s="47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12"/>
      <c r="AI219" s="12"/>
      <c r="AJ219" s="12"/>
    </row>
    <row r="220" spans="1:36" ht="20.100000000000001" customHeight="1" x14ac:dyDescent="0.25">
      <c r="A220" s="1"/>
      <c r="B220" s="67" t="s">
        <v>528</v>
      </c>
      <c r="C220" s="67" t="s">
        <v>529</v>
      </c>
      <c r="D220" s="67" t="s">
        <v>24</v>
      </c>
      <c r="E220" s="68" t="s">
        <v>530</v>
      </c>
      <c r="F220" s="67" t="s">
        <v>531</v>
      </c>
      <c r="G220" s="69">
        <v>1</v>
      </c>
      <c r="H220" s="70">
        <v>1047.6099999999999</v>
      </c>
      <c r="I220" s="70">
        <f>63.21*1.22</f>
        <v>77.116200000000006</v>
      </c>
      <c r="J220" s="70">
        <f>984.4*1.22</f>
        <v>1200.9679999999998</v>
      </c>
      <c r="K220" s="70">
        <f t="shared" si="48"/>
        <v>1278.0841999999998</v>
      </c>
      <c r="L220" s="70">
        <f t="shared" si="49"/>
        <v>77.116200000000006</v>
      </c>
      <c r="M220" s="70">
        <f t="shared" si="50"/>
        <v>1200.9679999999998</v>
      </c>
      <c r="N220" s="70">
        <f t="shared" si="51"/>
        <v>1278.0841999999998</v>
      </c>
      <c r="O220" s="71">
        <f t="shared" si="39"/>
        <v>5.7065283766083788E-4</v>
      </c>
      <c r="P220" s="12"/>
      <c r="Q220" s="49"/>
      <c r="R220" s="47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12"/>
      <c r="AI220" s="12"/>
      <c r="AJ220" s="12"/>
    </row>
    <row r="221" spans="1:36" ht="20.100000000000001" customHeight="1" x14ac:dyDescent="0.25">
      <c r="A221" s="1"/>
      <c r="B221" s="67" t="s">
        <v>532</v>
      </c>
      <c r="C221" s="67" t="s">
        <v>533</v>
      </c>
      <c r="D221" s="67" t="s">
        <v>38</v>
      </c>
      <c r="E221" s="68" t="s">
        <v>534</v>
      </c>
      <c r="F221" s="67" t="s">
        <v>40</v>
      </c>
      <c r="G221" s="69">
        <v>1</v>
      </c>
      <c r="H221" s="70">
        <v>34.19</v>
      </c>
      <c r="I221" s="70">
        <f>5.79*1.22</f>
        <v>7.0637999999999996</v>
      </c>
      <c r="J221" s="70">
        <f>28.4*1.22</f>
        <v>34.647999999999996</v>
      </c>
      <c r="K221" s="70">
        <f t="shared" si="48"/>
        <v>41.711799999999997</v>
      </c>
      <c r="L221" s="70">
        <f t="shared" si="49"/>
        <v>7.0637999999999996</v>
      </c>
      <c r="M221" s="70">
        <f t="shared" si="50"/>
        <v>34.647999999999996</v>
      </c>
      <c r="N221" s="70">
        <f t="shared" si="51"/>
        <v>41.711799999999997</v>
      </c>
      <c r="O221" s="71">
        <f t="shared" si="39"/>
        <v>1.8623934975443196E-5</v>
      </c>
      <c r="P221" s="12"/>
      <c r="Q221" s="49"/>
      <c r="R221" s="47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12"/>
      <c r="AI221" s="12"/>
      <c r="AJ221" s="12"/>
    </row>
    <row r="222" spans="1:36" ht="33" customHeight="1" x14ac:dyDescent="0.25">
      <c r="A222" s="1"/>
      <c r="B222" s="67" t="s">
        <v>535</v>
      </c>
      <c r="C222" s="67" t="s">
        <v>536</v>
      </c>
      <c r="D222" s="67" t="s">
        <v>38</v>
      </c>
      <c r="E222" s="68" t="s">
        <v>537</v>
      </c>
      <c r="F222" s="67" t="s">
        <v>40</v>
      </c>
      <c r="G222" s="69">
        <v>1</v>
      </c>
      <c r="H222" s="70">
        <v>141.19</v>
      </c>
      <c r="I222" s="70">
        <f>19.68*1.22</f>
        <v>24.009599999999999</v>
      </c>
      <c r="J222" s="70">
        <f>121.51*1.22</f>
        <v>148.2422</v>
      </c>
      <c r="K222" s="70">
        <f t="shared" si="48"/>
        <v>172.2518</v>
      </c>
      <c r="L222" s="70">
        <f t="shared" si="49"/>
        <v>24.009599999999999</v>
      </c>
      <c r="M222" s="70">
        <f t="shared" si="50"/>
        <v>148.2422</v>
      </c>
      <c r="N222" s="70">
        <f t="shared" si="51"/>
        <v>172.2518</v>
      </c>
      <c r="O222" s="71">
        <f t="shared" si="39"/>
        <v>7.6908844082562895E-5</v>
      </c>
      <c r="P222" s="12"/>
      <c r="Q222" s="49"/>
      <c r="R222" s="47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12"/>
      <c r="AI222" s="12"/>
      <c r="AJ222" s="12"/>
    </row>
    <row r="223" spans="1:36" ht="33" customHeight="1" x14ac:dyDescent="0.25">
      <c r="A223" s="1"/>
      <c r="B223" s="67" t="s">
        <v>538</v>
      </c>
      <c r="C223" s="67" t="s">
        <v>539</v>
      </c>
      <c r="D223" s="67" t="s">
        <v>38</v>
      </c>
      <c r="E223" s="68" t="s">
        <v>540</v>
      </c>
      <c r="F223" s="67" t="s">
        <v>40</v>
      </c>
      <c r="G223" s="69">
        <v>24</v>
      </c>
      <c r="H223" s="70">
        <v>80.05</v>
      </c>
      <c r="I223" s="70">
        <f>11.63*1.22</f>
        <v>14.188600000000001</v>
      </c>
      <c r="J223" s="70">
        <f>68.42*1.22</f>
        <v>83.472399999999993</v>
      </c>
      <c r="K223" s="70">
        <f t="shared" si="48"/>
        <v>97.661000000000001</v>
      </c>
      <c r="L223" s="70">
        <f t="shared" si="49"/>
        <v>340.52640000000002</v>
      </c>
      <c r="M223" s="70">
        <f t="shared" si="50"/>
        <v>2003.3375999999998</v>
      </c>
      <c r="N223" s="70">
        <f t="shared" si="51"/>
        <v>2343.864</v>
      </c>
      <c r="O223" s="71">
        <f t="shared" si="39"/>
        <v>1.0465137137999846E-3</v>
      </c>
      <c r="P223" s="12"/>
      <c r="Q223" s="49"/>
      <c r="R223" s="47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12"/>
      <c r="AI223" s="12"/>
      <c r="AJ223" s="12"/>
    </row>
    <row r="224" spans="1:36" ht="33" customHeight="1" x14ac:dyDescent="0.25">
      <c r="A224" s="1"/>
      <c r="B224" s="67" t="s">
        <v>541</v>
      </c>
      <c r="C224" s="67" t="s">
        <v>542</v>
      </c>
      <c r="D224" s="67" t="s">
        <v>38</v>
      </c>
      <c r="E224" s="68" t="s">
        <v>543</v>
      </c>
      <c r="F224" s="67" t="s">
        <v>40</v>
      </c>
      <c r="G224" s="69">
        <v>2</v>
      </c>
      <c r="H224" s="70">
        <v>76.36</v>
      </c>
      <c r="I224" s="70">
        <f>11.63*1.22</f>
        <v>14.188600000000001</v>
      </c>
      <c r="J224" s="70">
        <f>64.73*1.22</f>
        <v>78.970600000000005</v>
      </c>
      <c r="K224" s="70">
        <f t="shared" si="48"/>
        <v>93.159199999999998</v>
      </c>
      <c r="L224" s="70">
        <f t="shared" si="49"/>
        <v>28.377200000000002</v>
      </c>
      <c r="M224" s="70">
        <f t="shared" si="50"/>
        <v>157.94120000000001</v>
      </c>
      <c r="N224" s="70">
        <f t="shared" si="51"/>
        <v>186.3184</v>
      </c>
      <c r="O224" s="71">
        <f t="shared" si="39"/>
        <v>8.3189451577937566E-5</v>
      </c>
      <c r="P224" s="12"/>
      <c r="Q224" s="49"/>
      <c r="R224" s="47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12"/>
      <c r="AI224" s="12"/>
      <c r="AJ224" s="12"/>
    </row>
    <row r="225" spans="1:36" ht="33" customHeight="1" x14ac:dyDescent="0.25">
      <c r="A225" s="1"/>
      <c r="B225" s="67" t="s">
        <v>544</v>
      </c>
      <c r="C225" s="67" t="s">
        <v>545</v>
      </c>
      <c r="D225" s="67" t="s">
        <v>38</v>
      </c>
      <c r="E225" s="68" t="s">
        <v>546</v>
      </c>
      <c r="F225" s="67" t="s">
        <v>73</v>
      </c>
      <c r="G225" s="69">
        <v>2</v>
      </c>
      <c r="H225" s="70">
        <v>70.17</v>
      </c>
      <c r="I225" s="70">
        <f>10.2*1.22</f>
        <v>12.443999999999999</v>
      </c>
      <c r="J225" s="70">
        <f>59.97*1.22</f>
        <v>73.163399999999996</v>
      </c>
      <c r="K225" s="70">
        <f t="shared" si="48"/>
        <v>85.607399999999998</v>
      </c>
      <c r="L225" s="70">
        <f t="shared" si="49"/>
        <v>24.887999999999998</v>
      </c>
      <c r="M225" s="70">
        <f t="shared" si="50"/>
        <v>146.32679999999999</v>
      </c>
      <c r="N225" s="70">
        <f t="shared" si="51"/>
        <v>171.2148</v>
      </c>
      <c r="O225" s="71">
        <f t="shared" si="39"/>
        <v>7.6445833122366143E-5</v>
      </c>
      <c r="P225" s="12"/>
      <c r="Q225" s="49"/>
      <c r="R225" s="47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12"/>
      <c r="AI225" s="12"/>
      <c r="AJ225" s="12"/>
    </row>
    <row r="226" spans="1:36" ht="33" customHeight="1" x14ac:dyDescent="0.25">
      <c r="A226" s="1"/>
      <c r="B226" s="67" t="s">
        <v>547</v>
      </c>
      <c r="C226" s="67" t="s">
        <v>548</v>
      </c>
      <c r="D226" s="67" t="s">
        <v>38</v>
      </c>
      <c r="E226" s="68" t="s">
        <v>549</v>
      </c>
      <c r="F226" s="67" t="s">
        <v>73</v>
      </c>
      <c r="G226" s="69">
        <v>1</v>
      </c>
      <c r="H226" s="70">
        <v>122.78</v>
      </c>
      <c r="I226" s="70">
        <f>16.09*1.22</f>
        <v>19.629799999999999</v>
      </c>
      <c r="J226" s="70">
        <f>106.69*1.22</f>
        <v>130.1618</v>
      </c>
      <c r="K226" s="70">
        <f t="shared" si="48"/>
        <v>149.79159999999999</v>
      </c>
      <c r="L226" s="70">
        <f t="shared" si="49"/>
        <v>19.629799999999999</v>
      </c>
      <c r="M226" s="70">
        <f t="shared" si="50"/>
        <v>130.1618</v>
      </c>
      <c r="N226" s="70">
        <f t="shared" si="51"/>
        <v>149.79159999999999</v>
      </c>
      <c r="O226" s="71">
        <f t="shared" si="39"/>
        <v>6.6880571403478078E-5</v>
      </c>
      <c r="P226" s="12"/>
      <c r="Q226" s="49"/>
      <c r="R226" s="47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12"/>
      <c r="AI226" s="12"/>
      <c r="AJ226" s="12"/>
    </row>
    <row r="227" spans="1:36" ht="33" customHeight="1" x14ac:dyDescent="0.25">
      <c r="A227" s="1"/>
      <c r="B227" s="67" t="s">
        <v>550</v>
      </c>
      <c r="C227" s="67" t="s">
        <v>551</v>
      </c>
      <c r="D227" s="67" t="s">
        <v>38</v>
      </c>
      <c r="E227" s="68" t="s">
        <v>552</v>
      </c>
      <c r="F227" s="67" t="s">
        <v>40</v>
      </c>
      <c r="G227" s="69">
        <v>2</v>
      </c>
      <c r="H227" s="70">
        <v>8.68</v>
      </c>
      <c r="I227" s="70">
        <f>5*1.22</f>
        <v>6.1</v>
      </c>
      <c r="J227" s="70">
        <f>3.68*1.22</f>
        <v>4.4896000000000003</v>
      </c>
      <c r="K227" s="70">
        <f t="shared" si="48"/>
        <v>10.589600000000001</v>
      </c>
      <c r="L227" s="70">
        <f t="shared" si="49"/>
        <v>12.2</v>
      </c>
      <c r="M227" s="70">
        <f t="shared" si="50"/>
        <v>8.9792000000000005</v>
      </c>
      <c r="N227" s="70">
        <f t="shared" si="51"/>
        <v>21.179200000000002</v>
      </c>
      <c r="O227" s="71">
        <f t="shared" si="39"/>
        <v>9.4563179635476445E-6</v>
      </c>
      <c r="P227" s="12"/>
      <c r="Q227" s="49"/>
      <c r="R227" s="47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12"/>
      <c r="AI227" s="12"/>
      <c r="AJ227" s="12"/>
    </row>
    <row r="228" spans="1:36" ht="33" customHeight="1" x14ac:dyDescent="0.25">
      <c r="A228" s="1"/>
      <c r="B228" s="67" t="s">
        <v>553</v>
      </c>
      <c r="C228" s="67" t="s">
        <v>554</v>
      </c>
      <c r="D228" s="67" t="s">
        <v>38</v>
      </c>
      <c r="E228" s="68" t="s">
        <v>555</v>
      </c>
      <c r="F228" s="67" t="s">
        <v>40</v>
      </c>
      <c r="G228" s="69">
        <v>2</v>
      </c>
      <c r="H228" s="70">
        <v>25.14</v>
      </c>
      <c r="I228" s="70">
        <f>3.86*1.22</f>
        <v>4.7092000000000001</v>
      </c>
      <c r="J228" s="70">
        <f>31.43*1.22</f>
        <v>38.3446</v>
      </c>
      <c r="K228" s="70">
        <f t="shared" si="48"/>
        <v>43.053800000000003</v>
      </c>
      <c r="L228" s="70">
        <f t="shared" si="49"/>
        <v>9.4184000000000001</v>
      </c>
      <c r="M228" s="70">
        <f t="shared" si="50"/>
        <v>76.6892</v>
      </c>
      <c r="N228" s="70">
        <f t="shared" si="51"/>
        <v>86.107600000000005</v>
      </c>
      <c r="O228" s="71">
        <f t="shared" si="39"/>
        <v>3.8446251259630917E-5</v>
      </c>
      <c r="P228" s="12"/>
      <c r="Q228" s="49"/>
      <c r="R228" s="47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12"/>
      <c r="AI228" s="12"/>
      <c r="AJ228" s="12"/>
    </row>
    <row r="229" spans="1:36" ht="48" customHeight="1" x14ac:dyDescent="0.25">
      <c r="A229" s="1"/>
      <c r="B229" s="67" t="s">
        <v>556</v>
      </c>
      <c r="C229" s="67" t="s">
        <v>557</v>
      </c>
      <c r="D229" s="67" t="s">
        <v>38</v>
      </c>
      <c r="E229" s="68" t="s">
        <v>558</v>
      </c>
      <c r="F229" s="67" t="s">
        <v>40</v>
      </c>
      <c r="G229" s="69">
        <v>52</v>
      </c>
      <c r="H229" s="70">
        <v>3.98</v>
      </c>
      <c r="I229" s="70">
        <f>2.03*1.22</f>
        <v>2.4765999999999999</v>
      </c>
      <c r="J229" s="70">
        <f>1.95*1.22</f>
        <v>2.379</v>
      </c>
      <c r="K229" s="70">
        <f t="shared" si="48"/>
        <v>4.8555999999999999</v>
      </c>
      <c r="L229" s="70">
        <f t="shared" si="49"/>
        <v>128.78319999999999</v>
      </c>
      <c r="M229" s="70">
        <f t="shared" si="50"/>
        <v>123.708</v>
      </c>
      <c r="N229" s="70">
        <f t="shared" si="51"/>
        <v>252.49119999999999</v>
      </c>
      <c r="O229" s="71">
        <f t="shared" si="39"/>
        <v>1.1273499802625693E-4</v>
      </c>
      <c r="P229" s="12"/>
      <c r="Q229" s="49"/>
      <c r="R229" s="47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12"/>
      <c r="AI229" s="12"/>
      <c r="AJ229" s="12"/>
    </row>
    <row r="230" spans="1:36" ht="33" customHeight="1" x14ac:dyDescent="0.25">
      <c r="A230" s="1"/>
      <c r="B230" s="67" t="s">
        <v>559</v>
      </c>
      <c r="C230" s="67" t="s">
        <v>560</v>
      </c>
      <c r="D230" s="67" t="s">
        <v>38</v>
      </c>
      <c r="E230" s="68" t="s">
        <v>561</v>
      </c>
      <c r="F230" s="67" t="s">
        <v>40</v>
      </c>
      <c r="G230" s="69">
        <v>1</v>
      </c>
      <c r="H230" s="70">
        <v>19.21</v>
      </c>
      <c r="I230" s="70">
        <f>6.87*1.22</f>
        <v>8.3813999999999993</v>
      </c>
      <c r="J230" s="70">
        <f>12.34*1.22</f>
        <v>15.0548</v>
      </c>
      <c r="K230" s="70">
        <f t="shared" si="48"/>
        <v>23.436199999999999</v>
      </c>
      <c r="L230" s="70">
        <f t="shared" si="49"/>
        <v>8.3813999999999993</v>
      </c>
      <c r="M230" s="70">
        <f t="shared" si="50"/>
        <v>15.0548</v>
      </c>
      <c r="N230" s="70">
        <f t="shared" si="51"/>
        <v>23.436199999999999</v>
      </c>
      <c r="O230" s="71">
        <f t="shared" si="39"/>
        <v>1.0464047700446442E-5</v>
      </c>
      <c r="P230" s="12"/>
      <c r="Q230" s="49"/>
      <c r="R230" s="47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12"/>
      <c r="AI230" s="12"/>
      <c r="AJ230" s="12"/>
    </row>
    <row r="231" spans="1:36" ht="33" customHeight="1" x14ac:dyDescent="0.25">
      <c r="A231" s="1"/>
      <c r="B231" s="67" t="s">
        <v>562</v>
      </c>
      <c r="C231" s="67" t="s">
        <v>563</v>
      </c>
      <c r="D231" s="67" t="s">
        <v>38</v>
      </c>
      <c r="E231" s="68" t="s">
        <v>564</v>
      </c>
      <c r="F231" s="67" t="s">
        <v>40</v>
      </c>
      <c r="G231" s="69">
        <v>3</v>
      </c>
      <c r="H231" s="70">
        <v>9.65</v>
      </c>
      <c r="I231" s="70">
        <f>5.87*1.22</f>
        <v>7.1613999999999995</v>
      </c>
      <c r="J231" s="70">
        <f>3.78*1.22</f>
        <v>4.6115999999999993</v>
      </c>
      <c r="K231" s="70">
        <f t="shared" si="48"/>
        <v>11.773</v>
      </c>
      <c r="L231" s="70">
        <f t="shared" si="49"/>
        <v>21.484199999999998</v>
      </c>
      <c r="M231" s="70">
        <f t="shared" si="50"/>
        <v>13.834799999999998</v>
      </c>
      <c r="N231" s="70">
        <f t="shared" si="51"/>
        <v>35.318999999999996</v>
      </c>
      <c r="O231" s="71">
        <f t="shared" si="39"/>
        <v>1.5769608585524438E-5</v>
      </c>
      <c r="P231" s="12"/>
      <c r="Q231" s="49"/>
      <c r="R231" s="47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12"/>
      <c r="AI231" s="12"/>
      <c r="AJ231" s="12"/>
    </row>
    <row r="232" spans="1:36" ht="33" customHeight="1" x14ac:dyDescent="0.25">
      <c r="A232" s="1"/>
      <c r="B232" s="67" t="s">
        <v>565</v>
      </c>
      <c r="C232" s="67" t="s">
        <v>566</v>
      </c>
      <c r="D232" s="67" t="s">
        <v>38</v>
      </c>
      <c r="E232" s="68" t="s">
        <v>567</v>
      </c>
      <c r="F232" s="67" t="s">
        <v>40</v>
      </c>
      <c r="G232" s="69">
        <v>1</v>
      </c>
      <c r="H232" s="70">
        <v>10.37</v>
      </c>
      <c r="I232" s="70">
        <f>3.47*1.22</f>
        <v>4.2334000000000005</v>
      </c>
      <c r="J232" s="70">
        <f>6.9*1.22</f>
        <v>8.418000000000001</v>
      </c>
      <c r="K232" s="70">
        <f t="shared" si="48"/>
        <v>12.651400000000002</v>
      </c>
      <c r="L232" s="70">
        <f t="shared" si="49"/>
        <v>4.2334000000000005</v>
      </c>
      <c r="M232" s="70">
        <f t="shared" si="50"/>
        <v>8.418000000000001</v>
      </c>
      <c r="N232" s="70">
        <f t="shared" si="51"/>
        <v>12.651400000000002</v>
      </c>
      <c r="O232" s="71">
        <f t="shared" si="39"/>
        <v>5.6487337144002924E-6</v>
      </c>
      <c r="P232" s="12"/>
      <c r="Q232" s="49"/>
      <c r="R232" s="47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12"/>
      <c r="AI232" s="12"/>
      <c r="AJ232" s="12"/>
    </row>
    <row r="233" spans="1:36" ht="33" customHeight="1" x14ac:dyDescent="0.25">
      <c r="A233" s="1"/>
      <c r="B233" s="67" t="s">
        <v>568</v>
      </c>
      <c r="C233" s="67" t="s">
        <v>569</v>
      </c>
      <c r="D233" s="67" t="s">
        <v>38</v>
      </c>
      <c r="E233" s="68" t="s">
        <v>570</v>
      </c>
      <c r="F233" s="67" t="s">
        <v>40</v>
      </c>
      <c r="G233" s="69">
        <v>1</v>
      </c>
      <c r="H233" s="70">
        <v>16.489999999999998</v>
      </c>
      <c r="I233" s="70">
        <f>6.88*1.22</f>
        <v>8.3935999999999993</v>
      </c>
      <c r="J233" s="70">
        <f>9.61*1.22</f>
        <v>11.7242</v>
      </c>
      <c r="K233" s="70">
        <f t="shared" si="48"/>
        <v>20.117799999999999</v>
      </c>
      <c r="L233" s="70">
        <f t="shared" si="49"/>
        <v>8.3935999999999993</v>
      </c>
      <c r="M233" s="70">
        <f t="shared" si="50"/>
        <v>11.7242</v>
      </c>
      <c r="N233" s="70">
        <f t="shared" si="51"/>
        <v>20.117799999999999</v>
      </c>
      <c r="O233" s="71">
        <f t="shared" si="39"/>
        <v>8.9824126278168565E-6</v>
      </c>
      <c r="P233" s="12"/>
      <c r="Q233" s="49"/>
      <c r="R233" s="47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12"/>
      <c r="AI233" s="12"/>
      <c r="AJ233" s="12"/>
    </row>
    <row r="234" spans="1:36" ht="33" customHeight="1" x14ac:dyDescent="0.25">
      <c r="A234" s="1"/>
      <c r="B234" s="67" t="s">
        <v>571</v>
      </c>
      <c r="C234" s="67" t="s">
        <v>572</v>
      </c>
      <c r="D234" s="67" t="s">
        <v>38</v>
      </c>
      <c r="E234" s="68" t="s">
        <v>573</v>
      </c>
      <c r="F234" s="67" t="s">
        <v>40</v>
      </c>
      <c r="G234" s="69">
        <v>1</v>
      </c>
      <c r="H234" s="70">
        <v>8.17</v>
      </c>
      <c r="I234" s="70">
        <f>3.72*1.22</f>
        <v>4.5384000000000002</v>
      </c>
      <c r="J234" s="70">
        <f>4.45*1.22</f>
        <v>5.4290000000000003</v>
      </c>
      <c r="K234" s="70">
        <f t="shared" si="48"/>
        <v>9.9674000000000014</v>
      </c>
      <c r="L234" s="70">
        <f t="shared" si="49"/>
        <v>4.5384000000000002</v>
      </c>
      <c r="M234" s="70">
        <f t="shared" si="50"/>
        <v>5.4290000000000003</v>
      </c>
      <c r="N234" s="70">
        <f t="shared" si="51"/>
        <v>9.9674000000000014</v>
      </c>
      <c r="O234" s="71">
        <f t="shared" si="39"/>
        <v>4.4503524056557753E-6</v>
      </c>
      <c r="P234" s="12"/>
      <c r="Q234" s="49"/>
      <c r="R234" s="47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12"/>
      <c r="AI234" s="12"/>
      <c r="AJ234" s="12"/>
    </row>
    <row r="235" spans="1:36" ht="33" customHeight="1" x14ac:dyDescent="0.25">
      <c r="A235" s="1"/>
      <c r="B235" s="67" t="s">
        <v>574</v>
      </c>
      <c r="C235" s="67" t="s">
        <v>575</v>
      </c>
      <c r="D235" s="67" t="s">
        <v>38</v>
      </c>
      <c r="E235" s="68" t="s">
        <v>576</v>
      </c>
      <c r="F235" s="67" t="s">
        <v>40</v>
      </c>
      <c r="G235" s="69">
        <v>81</v>
      </c>
      <c r="H235" s="70">
        <v>8.7100000000000009</v>
      </c>
      <c r="I235" s="70">
        <f>3.72*1.22</f>
        <v>4.5384000000000002</v>
      </c>
      <c r="J235" s="70">
        <f>4.99*1.22</f>
        <v>6.0878000000000005</v>
      </c>
      <c r="K235" s="70">
        <f t="shared" si="48"/>
        <v>10.626200000000001</v>
      </c>
      <c r="L235" s="70">
        <f t="shared" si="49"/>
        <v>367.61040000000003</v>
      </c>
      <c r="M235" s="70">
        <f t="shared" si="50"/>
        <v>493.11180000000002</v>
      </c>
      <c r="N235" s="70">
        <f t="shared" si="51"/>
        <v>860.72220000000004</v>
      </c>
      <c r="O235" s="71">
        <f t="shared" si="39"/>
        <v>3.8430454415106554E-4</v>
      </c>
      <c r="P235" s="12"/>
      <c r="Q235" s="49"/>
      <c r="R235" s="47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12"/>
      <c r="AI235" s="12"/>
      <c r="AJ235" s="12"/>
    </row>
    <row r="236" spans="1:36" ht="33" customHeight="1" x14ac:dyDescent="0.25">
      <c r="A236" s="1"/>
      <c r="B236" s="67" t="s">
        <v>577</v>
      </c>
      <c r="C236" s="67" t="s">
        <v>578</v>
      </c>
      <c r="D236" s="67" t="s">
        <v>38</v>
      </c>
      <c r="E236" s="68" t="s">
        <v>579</v>
      </c>
      <c r="F236" s="67" t="s">
        <v>40</v>
      </c>
      <c r="G236" s="69">
        <v>1</v>
      </c>
      <c r="H236" s="70">
        <v>14.57</v>
      </c>
      <c r="I236" s="70">
        <f>5.33*1.22</f>
        <v>6.5026000000000002</v>
      </c>
      <c r="J236" s="70">
        <f>9.24*1.22</f>
        <v>11.2728</v>
      </c>
      <c r="K236" s="70">
        <f t="shared" si="48"/>
        <v>17.775400000000001</v>
      </c>
      <c r="L236" s="70">
        <f t="shared" si="49"/>
        <v>6.5026000000000002</v>
      </c>
      <c r="M236" s="70">
        <f t="shared" si="50"/>
        <v>11.2728</v>
      </c>
      <c r="N236" s="70">
        <f t="shared" si="51"/>
        <v>17.775400000000001</v>
      </c>
      <c r="O236" s="71">
        <f t="shared" si="39"/>
        <v>7.9365525765489149E-6</v>
      </c>
      <c r="P236" s="12"/>
      <c r="Q236" s="49"/>
      <c r="R236" s="47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12"/>
      <c r="AI236" s="12"/>
      <c r="AJ236" s="12"/>
    </row>
    <row r="237" spans="1:36" ht="33" customHeight="1" x14ac:dyDescent="0.25">
      <c r="A237" s="1"/>
      <c r="B237" s="67" t="s">
        <v>580</v>
      </c>
      <c r="C237" s="67" t="s">
        <v>581</v>
      </c>
      <c r="D237" s="67" t="s">
        <v>38</v>
      </c>
      <c r="E237" s="68" t="s">
        <v>582</v>
      </c>
      <c r="F237" s="67" t="s">
        <v>40</v>
      </c>
      <c r="G237" s="69">
        <v>25</v>
      </c>
      <c r="H237" s="70">
        <v>16.5</v>
      </c>
      <c r="I237" s="70">
        <f>2.46*1.22</f>
        <v>3.0011999999999999</v>
      </c>
      <c r="J237" s="70">
        <f>14.04*1.22</f>
        <v>17.128799999999998</v>
      </c>
      <c r="K237" s="70">
        <f t="shared" si="48"/>
        <v>20.13</v>
      </c>
      <c r="L237" s="70">
        <f t="shared" si="49"/>
        <v>75.03</v>
      </c>
      <c r="M237" s="70">
        <f t="shared" si="50"/>
        <v>428.21999999999997</v>
      </c>
      <c r="N237" s="70">
        <f t="shared" si="51"/>
        <v>503.25</v>
      </c>
      <c r="O237" s="71">
        <f t="shared" si="39"/>
        <v>2.2469649538959694E-4</v>
      </c>
      <c r="P237" s="12"/>
      <c r="Q237" s="49"/>
      <c r="R237" s="47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12"/>
      <c r="AI237" s="12"/>
      <c r="AJ237" s="12"/>
    </row>
    <row r="238" spans="1:36" ht="33" customHeight="1" x14ac:dyDescent="0.25">
      <c r="A238" s="1"/>
      <c r="B238" s="67" t="s">
        <v>583</v>
      </c>
      <c r="C238" s="67" t="s">
        <v>584</v>
      </c>
      <c r="D238" s="67" t="s">
        <v>38</v>
      </c>
      <c r="E238" s="68" t="s">
        <v>585</v>
      </c>
      <c r="F238" s="67" t="s">
        <v>40</v>
      </c>
      <c r="G238" s="69">
        <v>1</v>
      </c>
      <c r="H238" s="70">
        <v>36.79</v>
      </c>
      <c r="I238" s="70">
        <f>4.43*1.22</f>
        <v>5.4045999999999994</v>
      </c>
      <c r="J238" s="70">
        <f>32.36*1.22</f>
        <v>39.479199999999999</v>
      </c>
      <c r="K238" s="70">
        <f t="shared" si="48"/>
        <v>44.883800000000001</v>
      </c>
      <c r="L238" s="70">
        <f t="shared" si="49"/>
        <v>5.4045999999999994</v>
      </c>
      <c r="M238" s="70">
        <f t="shared" si="50"/>
        <v>39.479199999999999</v>
      </c>
      <c r="N238" s="70">
        <f t="shared" si="51"/>
        <v>44.883800000000001</v>
      </c>
      <c r="O238" s="71">
        <f t="shared" si="39"/>
        <v>2.0040203794868538E-5</v>
      </c>
      <c r="P238" s="12"/>
      <c r="Q238" s="49"/>
      <c r="R238" s="47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12"/>
      <c r="AI238" s="12"/>
      <c r="AJ238" s="12"/>
    </row>
    <row r="239" spans="1:36" ht="33" customHeight="1" x14ac:dyDescent="0.25">
      <c r="A239" s="1"/>
      <c r="B239" s="67" t="s">
        <v>586</v>
      </c>
      <c r="C239" s="67" t="s">
        <v>587</v>
      </c>
      <c r="D239" s="67" t="s">
        <v>38</v>
      </c>
      <c r="E239" s="68" t="s">
        <v>588</v>
      </c>
      <c r="F239" s="67" t="s">
        <v>73</v>
      </c>
      <c r="G239" s="69">
        <v>298.60000000000002</v>
      </c>
      <c r="H239" s="70">
        <v>30.48</v>
      </c>
      <c r="I239" s="70">
        <f>20.02*1.22</f>
        <v>24.424399999999999</v>
      </c>
      <c r="J239" s="70">
        <f>10.46*1.22</f>
        <v>12.761200000000001</v>
      </c>
      <c r="K239" s="70">
        <f t="shared" si="48"/>
        <v>37.185600000000001</v>
      </c>
      <c r="L239" s="70">
        <f t="shared" si="49"/>
        <v>7293.1258399999997</v>
      </c>
      <c r="M239" s="70">
        <f t="shared" si="50"/>
        <v>3810.4943200000002</v>
      </c>
      <c r="N239" s="70">
        <f t="shared" si="51"/>
        <v>11103.62016</v>
      </c>
      <c r="O239" s="71">
        <f t="shared" si="39"/>
        <v>4.9576642545241445E-3</v>
      </c>
      <c r="P239" s="12"/>
      <c r="Q239" s="49"/>
      <c r="R239" s="47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12"/>
      <c r="AI239" s="12"/>
      <c r="AJ239" s="12"/>
    </row>
    <row r="240" spans="1:36" ht="33" customHeight="1" x14ac:dyDescent="0.25">
      <c r="A240" s="1"/>
      <c r="B240" s="67" t="s">
        <v>589</v>
      </c>
      <c r="C240" s="67" t="s">
        <v>590</v>
      </c>
      <c r="D240" s="67" t="s">
        <v>38</v>
      </c>
      <c r="E240" s="68" t="s">
        <v>591</v>
      </c>
      <c r="F240" s="67" t="s">
        <v>73</v>
      </c>
      <c r="G240" s="69">
        <v>31.4</v>
      </c>
      <c r="H240" s="70">
        <v>40.56</v>
      </c>
      <c r="I240" s="70">
        <f>23.85*1.22</f>
        <v>29.097000000000001</v>
      </c>
      <c r="J240" s="70">
        <f>16.71*1.22</f>
        <v>20.386200000000002</v>
      </c>
      <c r="K240" s="70">
        <f t="shared" si="48"/>
        <v>49.483200000000004</v>
      </c>
      <c r="L240" s="70">
        <f t="shared" si="49"/>
        <v>913.64580000000001</v>
      </c>
      <c r="M240" s="70">
        <f t="shared" si="50"/>
        <v>640.12668000000008</v>
      </c>
      <c r="N240" s="70">
        <f t="shared" si="51"/>
        <v>1553.7724800000001</v>
      </c>
      <c r="O240" s="71">
        <f t="shared" si="39"/>
        <v>6.9374511850730776E-4</v>
      </c>
      <c r="P240" s="12"/>
      <c r="Q240" s="49"/>
      <c r="R240" s="47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12"/>
      <c r="AI240" s="12"/>
      <c r="AJ240" s="12"/>
    </row>
    <row r="241" spans="1:36" ht="20.100000000000001" customHeight="1" x14ac:dyDescent="0.25">
      <c r="A241" s="1"/>
      <c r="B241" s="67" t="s">
        <v>592</v>
      </c>
      <c r="C241" s="67" t="s">
        <v>593</v>
      </c>
      <c r="D241" s="67" t="s">
        <v>38</v>
      </c>
      <c r="E241" s="68" t="s">
        <v>594</v>
      </c>
      <c r="F241" s="67" t="s">
        <v>73</v>
      </c>
      <c r="G241" s="69">
        <v>0.1</v>
      </c>
      <c r="H241" s="70">
        <v>16.739999999999998</v>
      </c>
      <c r="I241" s="70">
        <f>1.47*1.22</f>
        <v>1.7933999999999999</v>
      </c>
      <c r="J241" s="70">
        <f>15.27*1.22</f>
        <v>18.6294</v>
      </c>
      <c r="K241" s="70">
        <f t="shared" si="48"/>
        <v>20.422799999999999</v>
      </c>
      <c r="L241" s="70">
        <f t="shared" si="49"/>
        <v>0.17934</v>
      </c>
      <c r="M241" s="70">
        <f t="shared" si="50"/>
        <v>1.86294</v>
      </c>
      <c r="N241" s="70">
        <f t="shared" si="51"/>
        <v>2.0422799999999999</v>
      </c>
      <c r="O241" s="71">
        <f t="shared" si="39"/>
        <v>9.1185923219923701E-7</v>
      </c>
      <c r="P241" s="12"/>
      <c r="Q241" s="49"/>
      <c r="R241" s="47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12"/>
      <c r="AI241" s="12"/>
      <c r="AJ241" s="12"/>
    </row>
    <row r="242" spans="1:36" ht="33" customHeight="1" x14ac:dyDescent="0.25">
      <c r="A242" s="1"/>
      <c r="B242" s="67" t="s">
        <v>595</v>
      </c>
      <c r="C242" s="67" t="s">
        <v>596</v>
      </c>
      <c r="D242" s="67" t="s">
        <v>38</v>
      </c>
      <c r="E242" s="68" t="s">
        <v>597</v>
      </c>
      <c r="F242" s="67" t="s">
        <v>40</v>
      </c>
      <c r="G242" s="69">
        <v>37</v>
      </c>
      <c r="H242" s="70">
        <v>12.61</v>
      </c>
      <c r="I242" s="70">
        <f>7.78*1.22</f>
        <v>9.4916</v>
      </c>
      <c r="J242" s="70">
        <f>4.43*1.22</f>
        <v>5.4045999999999994</v>
      </c>
      <c r="K242" s="70">
        <f t="shared" si="48"/>
        <v>14.8962</v>
      </c>
      <c r="L242" s="70">
        <f t="shared" si="49"/>
        <v>351.18920000000003</v>
      </c>
      <c r="M242" s="70">
        <f t="shared" si="50"/>
        <v>199.97019999999998</v>
      </c>
      <c r="N242" s="70">
        <f t="shared" si="51"/>
        <v>551.15940000000001</v>
      </c>
      <c r="O242" s="71">
        <f t="shared" si="39"/>
        <v>2.4608760175068658E-4</v>
      </c>
      <c r="P242" s="12"/>
      <c r="Q242" s="49"/>
      <c r="R242" s="47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12"/>
      <c r="AI242" s="12"/>
      <c r="AJ242" s="12"/>
    </row>
    <row r="243" spans="1:36" ht="33" customHeight="1" x14ac:dyDescent="0.25">
      <c r="A243" s="1"/>
      <c r="B243" s="67" t="s">
        <v>598</v>
      </c>
      <c r="C243" s="67" t="s">
        <v>599</v>
      </c>
      <c r="D243" s="67" t="s">
        <v>38</v>
      </c>
      <c r="E243" s="68" t="s">
        <v>600</v>
      </c>
      <c r="F243" s="67" t="s">
        <v>40</v>
      </c>
      <c r="G243" s="69">
        <v>1</v>
      </c>
      <c r="H243" s="70">
        <v>12.46</v>
      </c>
      <c r="I243" s="70">
        <f>5.27*1.22</f>
        <v>6.4293999999999993</v>
      </c>
      <c r="J243" s="70">
        <f>7.19*1.22</f>
        <v>8.7718000000000007</v>
      </c>
      <c r="K243" s="70">
        <f t="shared" si="48"/>
        <v>15.2012</v>
      </c>
      <c r="L243" s="70">
        <f t="shared" si="49"/>
        <v>6.4293999999999993</v>
      </c>
      <c r="M243" s="70">
        <f t="shared" si="50"/>
        <v>8.7718000000000007</v>
      </c>
      <c r="N243" s="70">
        <f t="shared" si="51"/>
        <v>15.2012</v>
      </c>
      <c r="O243" s="71">
        <f t="shared" si="39"/>
        <v>6.787195957707583E-6</v>
      </c>
      <c r="P243" s="12"/>
      <c r="Q243" s="49"/>
      <c r="R243" s="47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12"/>
      <c r="AI243" s="12"/>
      <c r="AJ243" s="12"/>
    </row>
    <row r="244" spans="1:36" ht="33" customHeight="1" x14ac:dyDescent="0.25">
      <c r="A244" s="1"/>
      <c r="B244" s="67" t="s">
        <v>601</v>
      </c>
      <c r="C244" s="67" t="s">
        <v>602</v>
      </c>
      <c r="D244" s="67" t="s">
        <v>38</v>
      </c>
      <c r="E244" s="68" t="s">
        <v>603</v>
      </c>
      <c r="F244" s="67" t="s">
        <v>40</v>
      </c>
      <c r="G244" s="69">
        <v>2</v>
      </c>
      <c r="H244" s="70">
        <v>35.450000000000003</v>
      </c>
      <c r="I244" s="70">
        <f>13.74*1.22</f>
        <v>16.762799999999999</v>
      </c>
      <c r="J244" s="70">
        <f>21.71*1.22</f>
        <v>26.4862</v>
      </c>
      <c r="K244" s="70">
        <f t="shared" si="48"/>
        <v>43.248999999999995</v>
      </c>
      <c r="L244" s="70">
        <f t="shared" si="49"/>
        <v>33.525599999999997</v>
      </c>
      <c r="M244" s="70">
        <f t="shared" si="50"/>
        <v>52.9724</v>
      </c>
      <c r="N244" s="70">
        <f t="shared" si="51"/>
        <v>86.49799999999999</v>
      </c>
      <c r="O244" s="71">
        <f t="shared" si="39"/>
        <v>3.8620561268175565E-5</v>
      </c>
      <c r="P244" s="12"/>
      <c r="Q244" s="49"/>
      <c r="R244" s="47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12"/>
      <c r="AI244" s="12"/>
      <c r="AJ244" s="12"/>
    </row>
    <row r="245" spans="1:36" ht="33" customHeight="1" x14ac:dyDescent="0.25">
      <c r="A245" s="1"/>
      <c r="B245" s="67" t="s">
        <v>604</v>
      </c>
      <c r="C245" s="67" t="s">
        <v>605</v>
      </c>
      <c r="D245" s="67" t="s">
        <v>38</v>
      </c>
      <c r="E245" s="68" t="s">
        <v>606</v>
      </c>
      <c r="F245" s="67" t="s">
        <v>40</v>
      </c>
      <c r="G245" s="69">
        <v>15</v>
      </c>
      <c r="H245" s="70">
        <v>23.56</v>
      </c>
      <c r="I245" s="70">
        <f>11.7*1.22</f>
        <v>14.273999999999999</v>
      </c>
      <c r="J245" s="70">
        <f>11.86*1.22</f>
        <v>14.469199999999999</v>
      </c>
      <c r="K245" s="70">
        <f t="shared" si="48"/>
        <v>28.743199999999998</v>
      </c>
      <c r="L245" s="70">
        <f t="shared" si="49"/>
        <v>214.10999999999999</v>
      </c>
      <c r="M245" s="70">
        <f t="shared" si="50"/>
        <v>217.03799999999998</v>
      </c>
      <c r="N245" s="70">
        <f t="shared" si="51"/>
        <v>431.14799999999997</v>
      </c>
      <c r="O245" s="71">
        <f t="shared" si="39"/>
        <v>1.9250361568650559E-4</v>
      </c>
      <c r="P245" s="12"/>
      <c r="Q245" s="49"/>
      <c r="R245" s="47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12"/>
      <c r="AI245" s="12"/>
      <c r="AJ245" s="12"/>
    </row>
    <row r="246" spans="1:36" ht="33" customHeight="1" x14ac:dyDescent="0.25">
      <c r="A246" s="1"/>
      <c r="B246" s="67" t="s">
        <v>607</v>
      </c>
      <c r="C246" s="67" t="s">
        <v>608</v>
      </c>
      <c r="D246" s="67" t="s">
        <v>38</v>
      </c>
      <c r="E246" s="68" t="s">
        <v>609</v>
      </c>
      <c r="F246" s="67" t="s">
        <v>40</v>
      </c>
      <c r="G246" s="69">
        <v>1</v>
      </c>
      <c r="H246" s="70">
        <v>21.65</v>
      </c>
      <c r="I246" s="70">
        <f>6.93*1.22</f>
        <v>8.4545999999999992</v>
      </c>
      <c r="J246" s="70">
        <f>14.72*1.22</f>
        <v>17.958400000000001</v>
      </c>
      <c r="K246" s="70">
        <f t="shared" si="48"/>
        <v>26.413</v>
      </c>
      <c r="L246" s="70">
        <f t="shared" si="49"/>
        <v>8.4545999999999992</v>
      </c>
      <c r="M246" s="70">
        <f t="shared" si="50"/>
        <v>17.958400000000001</v>
      </c>
      <c r="N246" s="70">
        <f t="shared" si="51"/>
        <v>26.413</v>
      </c>
      <c r="O246" s="71">
        <f t="shared" si="39"/>
        <v>1.1793161515599452E-5</v>
      </c>
      <c r="P246" s="12"/>
      <c r="Q246" s="49"/>
      <c r="R246" s="47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12"/>
      <c r="AI246" s="12"/>
      <c r="AJ246" s="12"/>
    </row>
    <row r="247" spans="1:36" ht="33" customHeight="1" x14ac:dyDescent="0.25">
      <c r="A247" s="1"/>
      <c r="B247" s="67" t="s">
        <v>610</v>
      </c>
      <c r="C247" s="67" t="s">
        <v>611</v>
      </c>
      <c r="D247" s="67" t="s">
        <v>38</v>
      </c>
      <c r="E247" s="68" t="s">
        <v>612</v>
      </c>
      <c r="F247" s="67" t="s">
        <v>40</v>
      </c>
      <c r="G247" s="69">
        <v>8</v>
      </c>
      <c r="H247" s="70">
        <v>18.57</v>
      </c>
      <c r="I247" s="70">
        <f>7.45*1.22</f>
        <v>9.0890000000000004</v>
      </c>
      <c r="J247" s="70">
        <f>11.12*1.22</f>
        <v>13.566399999999998</v>
      </c>
      <c r="K247" s="70">
        <f t="shared" si="48"/>
        <v>22.6554</v>
      </c>
      <c r="L247" s="70">
        <f t="shared" si="49"/>
        <v>72.712000000000003</v>
      </c>
      <c r="M247" s="70">
        <f t="shared" si="50"/>
        <v>108.53119999999998</v>
      </c>
      <c r="N247" s="70">
        <f t="shared" si="51"/>
        <v>181.2432</v>
      </c>
      <c r="O247" s="71">
        <f t="shared" si="39"/>
        <v>8.0923421466857018E-5</v>
      </c>
      <c r="P247" s="12"/>
      <c r="Q247" s="49"/>
      <c r="R247" s="47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12"/>
      <c r="AI247" s="12"/>
      <c r="AJ247" s="12"/>
    </row>
    <row r="248" spans="1:36" ht="33" customHeight="1" x14ac:dyDescent="0.25">
      <c r="A248" s="1"/>
      <c r="B248" s="67" t="s">
        <v>613</v>
      </c>
      <c r="C248" s="67" t="s">
        <v>614</v>
      </c>
      <c r="D248" s="67" t="s">
        <v>38</v>
      </c>
      <c r="E248" s="68" t="s">
        <v>615</v>
      </c>
      <c r="F248" s="67" t="s">
        <v>40</v>
      </c>
      <c r="G248" s="69">
        <v>49</v>
      </c>
      <c r="H248" s="70">
        <v>15.15</v>
      </c>
      <c r="I248" s="70">
        <f>6.91*1.22</f>
        <v>8.4301999999999992</v>
      </c>
      <c r="J248" s="70">
        <f>8.24*1.22</f>
        <v>10.0528</v>
      </c>
      <c r="K248" s="70">
        <f t="shared" si="48"/>
        <v>18.482999999999997</v>
      </c>
      <c r="L248" s="70">
        <f t="shared" si="49"/>
        <v>413.07979999999998</v>
      </c>
      <c r="M248" s="70">
        <f t="shared" si="50"/>
        <v>492.5872</v>
      </c>
      <c r="N248" s="70">
        <f t="shared" si="51"/>
        <v>905.66699999999992</v>
      </c>
      <c r="O248" s="71">
        <f t="shared" ref="O248:O311" si="52">N248/$N$472</f>
        <v>4.0437198388476912E-4</v>
      </c>
      <c r="P248" s="12"/>
      <c r="Q248" s="49"/>
      <c r="R248" s="47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12"/>
      <c r="AI248" s="12"/>
      <c r="AJ248" s="12"/>
    </row>
    <row r="249" spans="1:36" ht="20.100000000000001" customHeight="1" x14ac:dyDescent="0.25">
      <c r="A249" s="1"/>
      <c r="B249" s="67" t="s">
        <v>616</v>
      </c>
      <c r="C249" s="67" t="s">
        <v>617</v>
      </c>
      <c r="D249" s="67" t="s">
        <v>618</v>
      </c>
      <c r="E249" s="68" t="s">
        <v>619</v>
      </c>
      <c r="F249" s="67" t="s">
        <v>40</v>
      </c>
      <c r="G249" s="69">
        <v>1</v>
      </c>
      <c r="H249" s="70">
        <f>[1]CPUS!L149</f>
        <v>12712.315479999999</v>
      </c>
      <c r="I249" s="70">
        <f>([1]CPUS!L146+[1]CPUS!L147)*1.22</f>
        <v>357.85708559999995</v>
      </c>
      <c r="J249" s="70">
        <f>[1]CPUS!L148*1.22</f>
        <v>15151.167799999999</v>
      </c>
      <c r="K249" s="70">
        <f t="shared" si="48"/>
        <v>15509.0248856</v>
      </c>
      <c r="L249" s="70">
        <f t="shared" si="49"/>
        <v>357.85708559999995</v>
      </c>
      <c r="M249" s="70">
        <f t="shared" si="50"/>
        <v>15151.167799999999</v>
      </c>
      <c r="N249" s="70">
        <f t="shared" si="51"/>
        <v>15509.0248856</v>
      </c>
      <c r="O249" s="71">
        <f t="shared" si="52"/>
        <v>6.924636937316174E-3</v>
      </c>
      <c r="P249" s="12"/>
      <c r="Q249" s="49"/>
      <c r="R249" s="47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12"/>
      <c r="AI249" s="12"/>
      <c r="AJ249" s="12"/>
    </row>
    <row r="250" spans="1:36" ht="20.100000000000001" customHeight="1" x14ac:dyDescent="0.25">
      <c r="A250" s="1"/>
      <c r="B250" s="67" t="s">
        <v>620</v>
      </c>
      <c r="C250" s="67" t="s">
        <v>621</v>
      </c>
      <c r="D250" s="67" t="s">
        <v>24</v>
      </c>
      <c r="E250" s="68" t="s">
        <v>622</v>
      </c>
      <c r="F250" s="67" t="s">
        <v>327</v>
      </c>
      <c r="G250" s="69">
        <v>1</v>
      </c>
      <c r="H250" s="70">
        <v>10433.93</v>
      </c>
      <c r="I250" s="70">
        <f>116.96*1.22</f>
        <v>142.69119999999998</v>
      </c>
      <c r="J250" s="70">
        <f>10316.97*1.22</f>
        <v>12586.703399999999</v>
      </c>
      <c r="K250" s="70">
        <f>I250+J250</f>
        <v>12729.394599999998</v>
      </c>
      <c r="L250" s="70">
        <f>G250*I250</f>
        <v>142.69119999999998</v>
      </c>
      <c r="M250" s="70">
        <f>G250*J250</f>
        <v>12586.703399999999</v>
      </c>
      <c r="N250" s="70">
        <f>L250+M250</f>
        <v>12729.394599999998</v>
      </c>
      <c r="O250" s="71">
        <f t="shared" si="52"/>
        <v>5.6835575857948524E-3</v>
      </c>
      <c r="P250" s="12"/>
      <c r="Q250" s="49"/>
      <c r="R250" s="47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12"/>
      <c r="AI250" s="12"/>
      <c r="AJ250" s="12"/>
    </row>
    <row r="251" spans="1:36" ht="33" customHeight="1" x14ac:dyDescent="0.25">
      <c r="A251" s="1"/>
      <c r="B251" s="67" t="s">
        <v>623</v>
      </c>
      <c r="C251" s="67" t="s">
        <v>624</v>
      </c>
      <c r="D251" s="67" t="s">
        <v>38</v>
      </c>
      <c r="E251" s="68" t="s">
        <v>625</v>
      </c>
      <c r="F251" s="67" t="s">
        <v>40</v>
      </c>
      <c r="G251" s="69">
        <v>8</v>
      </c>
      <c r="H251" s="70">
        <v>18.82</v>
      </c>
      <c r="I251" s="70">
        <f>8.53*1.22</f>
        <v>10.406599999999999</v>
      </c>
      <c r="J251" s="70">
        <f>10.29*1.22</f>
        <v>12.553799999999999</v>
      </c>
      <c r="K251" s="70">
        <f>I251+J251</f>
        <v>22.9604</v>
      </c>
      <c r="L251" s="70">
        <f>G251*I251</f>
        <v>83.252799999999993</v>
      </c>
      <c r="M251" s="70">
        <f>G251*J251</f>
        <v>100.43039999999999</v>
      </c>
      <c r="N251" s="70">
        <f>L251+M251</f>
        <v>183.6832</v>
      </c>
      <c r="O251" s="71">
        <f t="shared" si="52"/>
        <v>8.2012859020261133E-5</v>
      </c>
      <c r="P251" s="12"/>
      <c r="Q251" s="49"/>
      <c r="R251" s="47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12"/>
      <c r="AI251" s="12"/>
      <c r="AJ251" s="12"/>
    </row>
    <row r="252" spans="1:36" ht="20.100000000000001" customHeight="1" x14ac:dyDescent="0.25">
      <c r="A252" s="1"/>
      <c r="B252" s="67" t="s">
        <v>626</v>
      </c>
      <c r="C252" s="67" t="s">
        <v>627</v>
      </c>
      <c r="D252" s="67" t="s">
        <v>467</v>
      </c>
      <c r="E252" s="68" t="s">
        <v>628</v>
      </c>
      <c r="F252" s="67" t="s">
        <v>629</v>
      </c>
      <c r="G252" s="69">
        <v>1</v>
      </c>
      <c r="H252" s="70">
        <v>906.45</v>
      </c>
      <c r="I252" s="70">
        <f>26.96*1.22</f>
        <v>32.891199999999998</v>
      </c>
      <c r="J252" s="70">
        <f>879.49*1.22</f>
        <v>1072.9777999999999</v>
      </c>
      <c r="K252" s="70">
        <f>I252+J252</f>
        <v>1105.8689999999999</v>
      </c>
      <c r="L252" s="70">
        <f>G252*I252</f>
        <v>32.891199999999998</v>
      </c>
      <c r="M252" s="70">
        <f>G252*J252</f>
        <v>1072.9777999999999</v>
      </c>
      <c r="N252" s="70">
        <f>L252+M252</f>
        <v>1105.8689999999999</v>
      </c>
      <c r="O252" s="71">
        <f t="shared" si="52"/>
        <v>4.9376033514157605E-4</v>
      </c>
      <c r="P252" s="12"/>
      <c r="Q252" s="49"/>
      <c r="R252" s="47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12"/>
      <c r="AI252" s="12"/>
      <c r="AJ252" s="12"/>
    </row>
    <row r="253" spans="1:36" ht="33" customHeight="1" x14ac:dyDescent="0.25">
      <c r="A253" s="1"/>
      <c r="B253" s="67" t="s">
        <v>630</v>
      </c>
      <c r="C253" s="67" t="s">
        <v>631</v>
      </c>
      <c r="D253" s="67" t="s">
        <v>24</v>
      </c>
      <c r="E253" s="68" t="s">
        <v>632</v>
      </c>
      <c r="F253" s="67" t="s">
        <v>531</v>
      </c>
      <c r="G253" s="69">
        <v>1</v>
      </c>
      <c r="H253" s="70">
        <v>7135.6</v>
      </c>
      <c r="I253" s="70">
        <f>84.82*1.22</f>
        <v>103.48039999999999</v>
      </c>
      <c r="J253" s="70">
        <f>7050.78*1.22</f>
        <v>8601.9516000000003</v>
      </c>
      <c r="K253" s="70">
        <f>I253+J253</f>
        <v>8705.4320000000007</v>
      </c>
      <c r="L253" s="70">
        <f>G253*I253</f>
        <v>103.48039999999999</v>
      </c>
      <c r="M253" s="70">
        <f>G253*J253</f>
        <v>8601.9516000000003</v>
      </c>
      <c r="N253" s="70">
        <f>L253+M253</f>
        <v>8705.4320000000007</v>
      </c>
      <c r="O253" s="71">
        <f t="shared" si="52"/>
        <v>3.8868953030351712E-3</v>
      </c>
      <c r="P253" s="12"/>
      <c r="Q253" s="49"/>
      <c r="R253" s="47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12"/>
      <c r="AI253" s="12"/>
      <c r="AJ253" s="12"/>
    </row>
    <row r="254" spans="1:36" ht="20.100000000000001" customHeight="1" x14ac:dyDescent="0.25">
      <c r="A254" s="1"/>
      <c r="B254" s="59" t="s">
        <v>633</v>
      </c>
      <c r="C254" s="59"/>
      <c r="D254" s="59"/>
      <c r="E254" s="60" t="s">
        <v>634</v>
      </c>
      <c r="F254" s="60"/>
      <c r="G254" s="61"/>
      <c r="H254" s="62"/>
      <c r="I254" s="60"/>
      <c r="J254" s="60"/>
      <c r="K254" s="60"/>
      <c r="L254" s="60"/>
      <c r="M254" s="60"/>
      <c r="N254" s="63">
        <f>SUM(N255:N292)</f>
        <v>79574.612240000002</v>
      </c>
      <c r="O254" s="64">
        <f>N254/$N$472</f>
        <v>3.5529332324518874E-2</v>
      </c>
      <c r="P254" s="12"/>
      <c r="Q254" s="49"/>
      <c r="R254" s="47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12"/>
      <c r="AI254" s="12"/>
      <c r="AJ254" s="12"/>
    </row>
    <row r="255" spans="1:36" ht="33" customHeight="1" x14ac:dyDescent="0.25">
      <c r="A255" s="1"/>
      <c r="B255" s="67" t="s">
        <v>635</v>
      </c>
      <c r="C255" s="67" t="s">
        <v>636</v>
      </c>
      <c r="D255" s="67" t="s">
        <v>38</v>
      </c>
      <c r="E255" s="68" t="s">
        <v>637</v>
      </c>
      <c r="F255" s="67" t="s">
        <v>40</v>
      </c>
      <c r="G255" s="69">
        <v>1</v>
      </c>
      <c r="H255" s="70">
        <v>55.64</v>
      </c>
      <c r="I255" s="70">
        <f>20.98*1.22</f>
        <v>25.595600000000001</v>
      </c>
      <c r="J255" s="70">
        <f>34.66*1.22</f>
        <v>42.285199999999996</v>
      </c>
      <c r="K255" s="70">
        <f t="shared" ref="K255:K292" si="53">I255+J255</f>
        <v>67.880799999999994</v>
      </c>
      <c r="L255" s="70">
        <f t="shared" ref="L255:L292" si="54">G255*I255</f>
        <v>25.595600000000001</v>
      </c>
      <c r="M255" s="70">
        <f t="shared" ref="M255:M292" si="55">G255*J255</f>
        <v>42.285199999999996</v>
      </c>
      <c r="N255" s="70">
        <f t="shared" ref="N255:N292" si="56">L255+M255</f>
        <v>67.880799999999994</v>
      </c>
      <c r="O255" s="71">
        <f t="shared" si="52"/>
        <v>3.0308152735702238E-5</v>
      </c>
      <c r="P255" s="12"/>
      <c r="Q255" s="49"/>
      <c r="R255" s="47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12"/>
      <c r="AI255" s="12"/>
      <c r="AJ255" s="12"/>
    </row>
    <row r="256" spans="1:36" ht="20.100000000000001" customHeight="1" x14ac:dyDescent="0.25">
      <c r="A256" s="1"/>
      <c r="B256" s="67" t="s">
        <v>638</v>
      </c>
      <c r="C256" s="67" t="s">
        <v>639</v>
      </c>
      <c r="D256" s="67" t="s">
        <v>24</v>
      </c>
      <c r="E256" s="68" t="s">
        <v>640</v>
      </c>
      <c r="F256" s="67" t="s">
        <v>641</v>
      </c>
      <c r="G256" s="69">
        <v>4</v>
      </c>
      <c r="H256" s="70">
        <v>348.09</v>
      </c>
      <c r="I256" s="70">
        <f>238.34*1.22</f>
        <v>290.77479999999997</v>
      </c>
      <c r="J256" s="70">
        <f>109.75*1.22</f>
        <v>133.89500000000001</v>
      </c>
      <c r="K256" s="70">
        <f t="shared" si="53"/>
        <v>424.66980000000001</v>
      </c>
      <c r="L256" s="70">
        <f t="shared" si="54"/>
        <v>1163.0991999999999</v>
      </c>
      <c r="M256" s="70">
        <f t="shared" si="55"/>
        <v>535.58000000000004</v>
      </c>
      <c r="N256" s="70">
        <f t="shared" si="56"/>
        <v>1698.6792</v>
      </c>
      <c r="O256" s="71">
        <f t="shared" si="52"/>
        <v>7.5844463592887081E-4</v>
      </c>
      <c r="P256" s="12"/>
      <c r="Q256" s="49"/>
      <c r="R256" s="47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12"/>
      <c r="AI256" s="12"/>
      <c r="AJ256" s="12"/>
    </row>
    <row r="257" spans="1:36" ht="33" customHeight="1" x14ac:dyDescent="0.25">
      <c r="A257" s="1"/>
      <c r="B257" s="67" t="s">
        <v>642</v>
      </c>
      <c r="C257" s="67" t="s">
        <v>643</v>
      </c>
      <c r="D257" s="67" t="s">
        <v>38</v>
      </c>
      <c r="E257" s="68" t="s">
        <v>644</v>
      </c>
      <c r="F257" s="67" t="s">
        <v>40</v>
      </c>
      <c r="G257" s="69">
        <v>17</v>
      </c>
      <c r="H257" s="70">
        <v>78.25</v>
      </c>
      <c r="I257" s="70">
        <f>22.25*1.22</f>
        <v>27.145</v>
      </c>
      <c r="J257" s="70">
        <f>56*1.22</f>
        <v>68.319999999999993</v>
      </c>
      <c r="K257" s="70">
        <f t="shared" si="53"/>
        <v>95.464999999999989</v>
      </c>
      <c r="L257" s="70">
        <f t="shared" si="54"/>
        <v>461.46499999999997</v>
      </c>
      <c r="M257" s="70">
        <f t="shared" si="55"/>
        <v>1161.4399999999998</v>
      </c>
      <c r="N257" s="70">
        <f t="shared" si="56"/>
        <v>1622.9049999999997</v>
      </c>
      <c r="O257" s="71">
        <f t="shared" si="52"/>
        <v>7.2461215270790613E-4</v>
      </c>
      <c r="P257" s="12"/>
      <c r="Q257" s="49"/>
      <c r="R257" s="47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12"/>
      <c r="AI257" s="12"/>
      <c r="AJ257" s="12"/>
    </row>
    <row r="258" spans="1:36" ht="33" customHeight="1" x14ac:dyDescent="0.25">
      <c r="A258" s="1"/>
      <c r="B258" s="67" t="s">
        <v>645</v>
      </c>
      <c r="C258" s="67" t="s">
        <v>646</v>
      </c>
      <c r="D258" s="67" t="s">
        <v>38</v>
      </c>
      <c r="E258" s="68" t="s">
        <v>647</v>
      </c>
      <c r="F258" s="67" t="s">
        <v>40</v>
      </c>
      <c r="G258" s="69">
        <v>1</v>
      </c>
      <c r="H258" s="70">
        <v>111.8</v>
      </c>
      <c r="I258" s="70">
        <f>25.13*1.22</f>
        <v>30.6586</v>
      </c>
      <c r="J258" s="70">
        <f>86.67*1.22</f>
        <v>105.73739999999999</v>
      </c>
      <c r="K258" s="70">
        <f t="shared" si="53"/>
        <v>136.39599999999999</v>
      </c>
      <c r="L258" s="70">
        <f t="shared" si="54"/>
        <v>30.6586</v>
      </c>
      <c r="M258" s="70">
        <f t="shared" si="55"/>
        <v>105.73739999999999</v>
      </c>
      <c r="N258" s="70">
        <f t="shared" si="56"/>
        <v>136.39599999999999</v>
      </c>
      <c r="O258" s="71">
        <f t="shared" si="52"/>
        <v>6.0899559235289541E-5</v>
      </c>
      <c r="P258" s="12"/>
      <c r="Q258" s="49"/>
      <c r="R258" s="47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12"/>
      <c r="AI258" s="12"/>
      <c r="AJ258" s="12"/>
    </row>
    <row r="259" spans="1:36" ht="33" customHeight="1" x14ac:dyDescent="0.25">
      <c r="A259" s="1"/>
      <c r="B259" s="67" t="s">
        <v>648</v>
      </c>
      <c r="C259" s="67" t="s">
        <v>649</v>
      </c>
      <c r="D259" s="67" t="s">
        <v>38</v>
      </c>
      <c r="E259" s="68" t="s">
        <v>650</v>
      </c>
      <c r="F259" s="67" t="s">
        <v>40</v>
      </c>
      <c r="G259" s="69">
        <v>3</v>
      </c>
      <c r="H259" s="70">
        <v>24.13</v>
      </c>
      <c r="I259" s="70">
        <f>8.68*1.22</f>
        <v>10.589599999999999</v>
      </c>
      <c r="J259" s="70">
        <f>15.45*1.22</f>
        <v>18.849</v>
      </c>
      <c r="K259" s="70">
        <f t="shared" si="53"/>
        <v>29.438600000000001</v>
      </c>
      <c r="L259" s="70">
        <f t="shared" si="54"/>
        <v>31.768799999999999</v>
      </c>
      <c r="M259" s="70">
        <f t="shared" si="55"/>
        <v>56.546999999999997</v>
      </c>
      <c r="N259" s="70">
        <f t="shared" si="56"/>
        <v>88.315799999999996</v>
      </c>
      <c r="O259" s="71">
        <f t="shared" si="52"/>
        <v>3.9432192245461627E-5</v>
      </c>
      <c r="P259" s="12"/>
      <c r="Q259" s="49"/>
      <c r="R259" s="47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12"/>
      <c r="AI259" s="12"/>
      <c r="AJ259" s="12"/>
    </row>
    <row r="260" spans="1:36" ht="20.100000000000001" customHeight="1" x14ac:dyDescent="0.25">
      <c r="A260" s="1"/>
      <c r="B260" s="67" t="s">
        <v>651</v>
      </c>
      <c r="C260" s="67" t="s">
        <v>652</v>
      </c>
      <c r="D260" s="67" t="s">
        <v>38</v>
      </c>
      <c r="E260" s="68" t="s">
        <v>653</v>
      </c>
      <c r="F260" s="67" t="s">
        <v>40</v>
      </c>
      <c r="G260" s="69">
        <v>29</v>
      </c>
      <c r="H260" s="70">
        <v>15.07</v>
      </c>
      <c r="I260" s="70">
        <f>3.02*1.22</f>
        <v>3.6844000000000001</v>
      </c>
      <c r="J260" s="70">
        <f>12.05*1.22</f>
        <v>14.701000000000001</v>
      </c>
      <c r="K260" s="70">
        <f t="shared" si="53"/>
        <v>18.385400000000001</v>
      </c>
      <c r="L260" s="70">
        <f t="shared" si="54"/>
        <v>106.8476</v>
      </c>
      <c r="M260" s="70">
        <f t="shared" si="55"/>
        <v>426.32900000000001</v>
      </c>
      <c r="N260" s="70">
        <f t="shared" si="56"/>
        <v>533.17660000000001</v>
      </c>
      <c r="O260" s="71">
        <f t="shared" si="52"/>
        <v>2.3805844698209831E-4</v>
      </c>
      <c r="P260" s="12"/>
      <c r="Q260" s="49"/>
      <c r="R260" s="47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12"/>
      <c r="AI260" s="12"/>
      <c r="AJ260" s="12"/>
    </row>
    <row r="261" spans="1:36" ht="33" customHeight="1" x14ac:dyDescent="0.25">
      <c r="A261" s="1"/>
      <c r="B261" s="67" t="s">
        <v>654</v>
      </c>
      <c r="C261" s="67" t="s">
        <v>655</v>
      </c>
      <c r="D261" s="67" t="s">
        <v>38</v>
      </c>
      <c r="E261" s="68" t="s">
        <v>656</v>
      </c>
      <c r="F261" s="67" t="s">
        <v>40</v>
      </c>
      <c r="G261" s="69">
        <v>30</v>
      </c>
      <c r="H261" s="70">
        <v>785.85</v>
      </c>
      <c r="I261" s="70">
        <f>79.67*1.22</f>
        <v>97.197400000000002</v>
      </c>
      <c r="J261" s="70">
        <f>706.18*1.22</f>
        <v>861.53959999999995</v>
      </c>
      <c r="K261" s="70">
        <f t="shared" si="53"/>
        <v>958.73699999999997</v>
      </c>
      <c r="L261" s="70">
        <f t="shared" si="54"/>
        <v>2915.922</v>
      </c>
      <c r="M261" s="70">
        <f t="shared" si="55"/>
        <v>25846.187999999998</v>
      </c>
      <c r="N261" s="70">
        <f t="shared" si="56"/>
        <v>28762.109999999997</v>
      </c>
      <c r="O261" s="71">
        <f t="shared" si="52"/>
        <v>1.2842017520139254E-2</v>
      </c>
      <c r="P261" s="12"/>
      <c r="Q261" s="49"/>
      <c r="R261" s="47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12"/>
      <c r="AI261" s="12"/>
      <c r="AJ261" s="12"/>
    </row>
    <row r="262" spans="1:36" ht="33" customHeight="1" x14ac:dyDescent="0.25">
      <c r="A262" s="1"/>
      <c r="B262" s="67" t="s">
        <v>657</v>
      </c>
      <c r="C262" s="67" t="s">
        <v>658</v>
      </c>
      <c r="D262" s="67" t="s">
        <v>38</v>
      </c>
      <c r="E262" s="68" t="s">
        <v>659</v>
      </c>
      <c r="F262" s="67" t="s">
        <v>40</v>
      </c>
      <c r="G262" s="69">
        <v>10</v>
      </c>
      <c r="H262" s="70">
        <v>71.11</v>
      </c>
      <c r="I262" s="70">
        <f>6.57*1.22</f>
        <v>8.0153999999999996</v>
      </c>
      <c r="J262" s="70">
        <f>64.54*1.22</f>
        <v>78.738800000000012</v>
      </c>
      <c r="K262" s="70">
        <f t="shared" si="53"/>
        <v>86.754200000000012</v>
      </c>
      <c r="L262" s="70">
        <f t="shared" si="54"/>
        <v>80.153999999999996</v>
      </c>
      <c r="M262" s="70">
        <f t="shared" si="55"/>
        <v>787.38800000000015</v>
      </c>
      <c r="N262" s="70">
        <f t="shared" si="56"/>
        <v>867.54200000000014</v>
      </c>
      <c r="O262" s="71">
        <f t="shared" si="52"/>
        <v>3.8734952211283007E-4</v>
      </c>
      <c r="P262" s="12"/>
      <c r="Q262" s="49"/>
      <c r="R262" s="47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12"/>
      <c r="AI262" s="12"/>
      <c r="AJ262" s="12"/>
    </row>
    <row r="263" spans="1:36" ht="33" customHeight="1" x14ac:dyDescent="0.25">
      <c r="A263" s="1"/>
      <c r="B263" s="67" t="s">
        <v>660</v>
      </c>
      <c r="C263" s="67" t="s">
        <v>661</v>
      </c>
      <c r="D263" s="67" t="s">
        <v>38</v>
      </c>
      <c r="E263" s="68" t="s">
        <v>662</v>
      </c>
      <c r="F263" s="67" t="s">
        <v>40</v>
      </c>
      <c r="G263" s="69">
        <v>8</v>
      </c>
      <c r="H263" s="70">
        <v>47.1</v>
      </c>
      <c r="I263" s="70">
        <f>11.42*1.22</f>
        <v>13.932399999999999</v>
      </c>
      <c r="J263" s="70">
        <f>35.68*1.22</f>
        <v>43.529600000000002</v>
      </c>
      <c r="K263" s="70">
        <f t="shared" si="53"/>
        <v>57.462000000000003</v>
      </c>
      <c r="L263" s="70">
        <f t="shared" si="54"/>
        <v>111.4592</v>
      </c>
      <c r="M263" s="70">
        <f t="shared" si="55"/>
        <v>348.23680000000002</v>
      </c>
      <c r="N263" s="70">
        <f t="shared" si="56"/>
        <v>459.69600000000003</v>
      </c>
      <c r="O263" s="71">
        <f t="shared" si="52"/>
        <v>2.0525003506133364E-4</v>
      </c>
      <c r="P263" s="12"/>
      <c r="Q263" s="49"/>
      <c r="R263" s="47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12"/>
      <c r="AI263" s="12"/>
      <c r="AJ263" s="12"/>
    </row>
    <row r="264" spans="1:36" ht="33" customHeight="1" x14ac:dyDescent="0.25">
      <c r="A264" s="1"/>
      <c r="B264" s="67" t="s">
        <v>663</v>
      </c>
      <c r="C264" s="67" t="s">
        <v>664</v>
      </c>
      <c r="D264" s="67" t="s">
        <v>38</v>
      </c>
      <c r="E264" s="68" t="s">
        <v>665</v>
      </c>
      <c r="F264" s="67" t="s">
        <v>40</v>
      </c>
      <c r="G264" s="69">
        <v>49</v>
      </c>
      <c r="H264" s="70">
        <v>15.43</v>
      </c>
      <c r="I264" s="70">
        <f>6.68*1.22</f>
        <v>8.1495999999999995</v>
      </c>
      <c r="J264" s="70">
        <f>8.75*1.22</f>
        <v>10.674999999999999</v>
      </c>
      <c r="K264" s="70">
        <f t="shared" si="53"/>
        <v>18.824599999999997</v>
      </c>
      <c r="L264" s="70">
        <f t="shared" si="54"/>
        <v>399.3304</v>
      </c>
      <c r="M264" s="70">
        <f t="shared" si="55"/>
        <v>523.07499999999993</v>
      </c>
      <c r="N264" s="70">
        <f t="shared" si="56"/>
        <v>922.40539999999987</v>
      </c>
      <c r="O264" s="71">
        <f t="shared" si="52"/>
        <v>4.1184552550112128E-4</v>
      </c>
      <c r="P264" s="12"/>
      <c r="Q264" s="49"/>
      <c r="R264" s="47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12"/>
      <c r="AI264" s="12"/>
      <c r="AJ264" s="12"/>
    </row>
    <row r="265" spans="1:36" ht="33" customHeight="1" x14ac:dyDescent="0.25">
      <c r="A265" s="1"/>
      <c r="B265" s="67" t="s">
        <v>666</v>
      </c>
      <c r="C265" s="67" t="s">
        <v>667</v>
      </c>
      <c r="D265" s="67" t="s">
        <v>38</v>
      </c>
      <c r="E265" s="68" t="s">
        <v>668</v>
      </c>
      <c r="F265" s="67" t="s">
        <v>40</v>
      </c>
      <c r="G265" s="69">
        <v>25</v>
      </c>
      <c r="H265" s="70">
        <v>12.61</v>
      </c>
      <c r="I265" s="70">
        <f>6.69*1.22</f>
        <v>8.1617999999999995</v>
      </c>
      <c r="J265" s="70">
        <f>5.92*1.22</f>
        <v>7.2223999999999995</v>
      </c>
      <c r="K265" s="70">
        <f t="shared" si="53"/>
        <v>15.3842</v>
      </c>
      <c r="L265" s="70">
        <f t="shared" si="54"/>
        <v>204.04499999999999</v>
      </c>
      <c r="M265" s="70">
        <f t="shared" si="55"/>
        <v>180.55999999999997</v>
      </c>
      <c r="N265" s="70">
        <f t="shared" si="56"/>
        <v>384.60499999999996</v>
      </c>
      <c r="O265" s="71">
        <f t="shared" si="52"/>
        <v>1.7172259435532225E-4</v>
      </c>
      <c r="P265" s="12"/>
      <c r="Q265" s="49"/>
      <c r="R265" s="66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12"/>
      <c r="AI265" s="12"/>
      <c r="AJ265" s="12"/>
    </row>
    <row r="266" spans="1:36" ht="33" customHeight="1" x14ac:dyDescent="0.25">
      <c r="A266" s="1"/>
      <c r="B266" s="67" t="s">
        <v>669</v>
      </c>
      <c r="C266" s="67" t="s">
        <v>670</v>
      </c>
      <c r="D266" s="67" t="s">
        <v>38</v>
      </c>
      <c r="E266" s="68" t="s">
        <v>671</v>
      </c>
      <c r="F266" s="67" t="s">
        <v>40</v>
      </c>
      <c r="G266" s="69">
        <v>25</v>
      </c>
      <c r="H266" s="70">
        <v>17.420000000000002</v>
      </c>
      <c r="I266" s="70">
        <f>7.26*1.22</f>
        <v>8.8571999999999989</v>
      </c>
      <c r="J266" s="70">
        <f>10.16*1.22</f>
        <v>12.395199999999999</v>
      </c>
      <c r="K266" s="70">
        <f t="shared" si="53"/>
        <v>21.252399999999998</v>
      </c>
      <c r="L266" s="70">
        <f t="shared" si="54"/>
        <v>221.42999999999998</v>
      </c>
      <c r="M266" s="70">
        <f t="shared" si="55"/>
        <v>309.88</v>
      </c>
      <c r="N266" s="70">
        <f t="shared" si="56"/>
        <v>531.30999999999995</v>
      </c>
      <c r="O266" s="71">
        <f t="shared" si="52"/>
        <v>2.3722502725374414E-4</v>
      </c>
      <c r="P266" s="12"/>
      <c r="Q266" s="49"/>
      <c r="R266" s="66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12"/>
      <c r="AI266" s="12"/>
      <c r="AJ266" s="12"/>
    </row>
    <row r="267" spans="1:36" ht="33" customHeight="1" x14ac:dyDescent="0.25">
      <c r="A267" s="1"/>
      <c r="B267" s="67" t="s">
        <v>672</v>
      </c>
      <c r="C267" s="67" t="s">
        <v>673</v>
      </c>
      <c r="D267" s="67" t="s">
        <v>38</v>
      </c>
      <c r="E267" s="68" t="s">
        <v>674</v>
      </c>
      <c r="F267" s="67" t="s">
        <v>40</v>
      </c>
      <c r="G267" s="69">
        <v>3</v>
      </c>
      <c r="H267" s="70">
        <v>25.58</v>
      </c>
      <c r="I267" s="70">
        <f>6.68*1.22</f>
        <v>8.1495999999999995</v>
      </c>
      <c r="J267" s="70">
        <f>16.9*1.22</f>
        <v>20.617999999999999</v>
      </c>
      <c r="K267" s="70">
        <f t="shared" si="53"/>
        <v>28.767599999999998</v>
      </c>
      <c r="L267" s="70">
        <f t="shared" si="54"/>
        <v>24.448799999999999</v>
      </c>
      <c r="M267" s="70">
        <f t="shared" si="55"/>
        <v>61.853999999999999</v>
      </c>
      <c r="N267" s="70">
        <f t="shared" si="56"/>
        <v>86.302799999999991</v>
      </c>
      <c r="O267" s="71">
        <f t="shared" si="52"/>
        <v>3.8533406263903241E-5</v>
      </c>
      <c r="P267" s="12"/>
      <c r="Q267" s="49"/>
      <c r="R267" s="66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12"/>
      <c r="AI267" s="12"/>
      <c r="AJ267" s="12"/>
    </row>
    <row r="268" spans="1:36" ht="33" customHeight="1" x14ac:dyDescent="0.25">
      <c r="A268" s="1"/>
      <c r="B268" s="67" t="s">
        <v>675</v>
      </c>
      <c r="C268" s="67" t="s">
        <v>676</v>
      </c>
      <c r="D268" s="67" t="s">
        <v>38</v>
      </c>
      <c r="E268" s="68" t="s">
        <v>677</v>
      </c>
      <c r="F268" s="67" t="s">
        <v>40</v>
      </c>
      <c r="G268" s="69">
        <v>44</v>
      </c>
      <c r="H268" s="70">
        <v>16.66</v>
      </c>
      <c r="I268" s="70">
        <f>7.27*1.22</f>
        <v>8.8693999999999988</v>
      </c>
      <c r="J268" s="70">
        <f>9.39*1.22</f>
        <v>11.4558</v>
      </c>
      <c r="K268" s="70">
        <f t="shared" si="53"/>
        <v>20.325199999999999</v>
      </c>
      <c r="L268" s="70">
        <f t="shared" si="54"/>
        <v>390.25359999999995</v>
      </c>
      <c r="M268" s="70">
        <f t="shared" si="55"/>
        <v>504.05520000000001</v>
      </c>
      <c r="N268" s="70">
        <f t="shared" si="56"/>
        <v>894.30880000000002</v>
      </c>
      <c r="O268" s="71">
        <f t="shared" si="52"/>
        <v>3.9930065207367305E-4</v>
      </c>
      <c r="P268" s="12"/>
      <c r="Q268" s="49"/>
      <c r="R268" s="47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12"/>
      <c r="AI268" s="12"/>
      <c r="AJ268" s="12"/>
    </row>
    <row r="269" spans="1:36" ht="33" customHeight="1" x14ac:dyDescent="0.25">
      <c r="A269" s="1"/>
      <c r="B269" s="67" t="s">
        <v>678</v>
      </c>
      <c r="C269" s="67" t="s">
        <v>679</v>
      </c>
      <c r="D269" s="67" t="s">
        <v>38</v>
      </c>
      <c r="E269" s="68" t="s">
        <v>680</v>
      </c>
      <c r="F269" s="67" t="s">
        <v>40</v>
      </c>
      <c r="G269" s="69">
        <v>29</v>
      </c>
      <c r="H269" s="70">
        <v>12.37</v>
      </c>
      <c r="I269" s="70">
        <f>6.69*1.22</f>
        <v>8.1617999999999995</v>
      </c>
      <c r="J269" s="70">
        <f>5.68*1.22</f>
        <v>6.9295999999999998</v>
      </c>
      <c r="K269" s="70">
        <f t="shared" si="53"/>
        <v>15.0914</v>
      </c>
      <c r="L269" s="70">
        <f t="shared" si="54"/>
        <v>236.69219999999999</v>
      </c>
      <c r="M269" s="70">
        <f t="shared" si="55"/>
        <v>200.95839999999998</v>
      </c>
      <c r="N269" s="70">
        <f t="shared" si="56"/>
        <v>437.65059999999994</v>
      </c>
      <c r="O269" s="71">
        <f t="shared" si="52"/>
        <v>1.9540696676632752E-4</v>
      </c>
      <c r="P269" s="12"/>
      <c r="Q269" s="49"/>
      <c r="R269" s="47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12"/>
      <c r="AI269" s="12"/>
      <c r="AJ269" s="12"/>
    </row>
    <row r="270" spans="1:36" ht="33" customHeight="1" x14ac:dyDescent="0.25">
      <c r="A270" s="1"/>
      <c r="B270" s="67" t="s">
        <v>681</v>
      </c>
      <c r="C270" s="67" t="s">
        <v>682</v>
      </c>
      <c r="D270" s="67" t="s">
        <v>38</v>
      </c>
      <c r="E270" s="68" t="s">
        <v>683</v>
      </c>
      <c r="F270" s="67" t="s">
        <v>40</v>
      </c>
      <c r="G270" s="69">
        <v>11</v>
      </c>
      <c r="H270" s="70">
        <v>45.71</v>
      </c>
      <c r="I270" s="70">
        <f>12.21*1.22</f>
        <v>14.8962</v>
      </c>
      <c r="J270" s="70">
        <f>33.5*1.22</f>
        <v>40.869999999999997</v>
      </c>
      <c r="K270" s="70">
        <f t="shared" si="53"/>
        <v>55.766199999999998</v>
      </c>
      <c r="L270" s="70">
        <f t="shared" si="54"/>
        <v>163.85820000000001</v>
      </c>
      <c r="M270" s="70">
        <f t="shared" si="55"/>
        <v>449.57</v>
      </c>
      <c r="N270" s="70">
        <f t="shared" si="56"/>
        <v>613.42820000000006</v>
      </c>
      <c r="O270" s="71">
        <f t="shared" si="52"/>
        <v>2.7389004811355941E-4</v>
      </c>
      <c r="P270" s="12"/>
      <c r="Q270" s="49"/>
      <c r="R270" s="47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12"/>
      <c r="AI270" s="12"/>
      <c r="AJ270" s="12"/>
    </row>
    <row r="271" spans="1:36" ht="33" customHeight="1" x14ac:dyDescent="0.25">
      <c r="A271" s="12"/>
      <c r="B271" s="67" t="s">
        <v>684</v>
      </c>
      <c r="C271" s="67" t="s">
        <v>685</v>
      </c>
      <c r="D271" s="67" t="s">
        <v>38</v>
      </c>
      <c r="E271" s="68" t="s">
        <v>686</v>
      </c>
      <c r="F271" s="67" t="s">
        <v>40</v>
      </c>
      <c r="G271" s="69">
        <v>6</v>
      </c>
      <c r="H271" s="70">
        <v>17.75</v>
      </c>
      <c r="I271" s="70">
        <f>8.93*1.22</f>
        <v>10.894599999999999</v>
      </c>
      <c r="J271" s="70">
        <f>8.82*1.22</f>
        <v>10.760400000000001</v>
      </c>
      <c r="K271" s="70">
        <f t="shared" si="53"/>
        <v>21.655000000000001</v>
      </c>
      <c r="L271" s="70">
        <f t="shared" si="54"/>
        <v>65.367599999999996</v>
      </c>
      <c r="M271" s="70">
        <f t="shared" si="55"/>
        <v>64.562399999999997</v>
      </c>
      <c r="N271" s="70">
        <f t="shared" si="56"/>
        <v>129.93</v>
      </c>
      <c r="O271" s="71">
        <f t="shared" si="52"/>
        <v>5.8012549718768667E-5</v>
      </c>
      <c r="P271" s="12"/>
      <c r="Q271" s="49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</row>
    <row r="272" spans="1:36" ht="33" customHeight="1" x14ac:dyDescent="0.25">
      <c r="A272" s="1"/>
      <c r="B272" s="67" t="s">
        <v>687</v>
      </c>
      <c r="C272" s="67" t="s">
        <v>688</v>
      </c>
      <c r="D272" s="67" t="s">
        <v>38</v>
      </c>
      <c r="E272" s="68" t="s">
        <v>689</v>
      </c>
      <c r="F272" s="67" t="s">
        <v>40</v>
      </c>
      <c r="G272" s="69">
        <v>1</v>
      </c>
      <c r="H272" s="70">
        <v>31</v>
      </c>
      <c r="I272" s="70">
        <f>6.66*1.22</f>
        <v>8.1251999999999995</v>
      </c>
      <c r="J272" s="70">
        <f>24.34*1.22</f>
        <v>29.694800000000001</v>
      </c>
      <c r="K272" s="70">
        <f t="shared" si="53"/>
        <v>37.82</v>
      </c>
      <c r="L272" s="70">
        <f t="shared" si="54"/>
        <v>8.1251999999999995</v>
      </c>
      <c r="M272" s="70">
        <f t="shared" si="55"/>
        <v>29.694800000000001</v>
      </c>
      <c r="N272" s="70">
        <f t="shared" si="56"/>
        <v>37.82</v>
      </c>
      <c r="O272" s="71">
        <f t="shared" si="52"/>
        <v>1.6886282077763647E-5</v>
      </c>
      <c r="P272" s="12"/>
      <c r="Q272" s="49"/>
      <c r="R272" s="11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12"/>
      <c r="AJ272" s="12"/>
    </row>
    <row r="273" spans="1:36" ht="33" customHeight="1" x14ac:dyDescent="0.25">
      <c r="A273" s="1"/>
      <c r="B273" s="67" t="s">
        <v>690</v>
      </c>
      <c r="C273" s="67" t="s">
        <v>691</v>
      </c>
      <c r="D273" s="67" t="s">
        <v>38</v>
      </c>
      <c r="E273" s="68" t="s">
        <v>692</v>
      </c>
      <c r="F273" s="67" t="s">
        <v>40</v>
      </c>
      <c r="G273" s="69">
        <v>1</v>
      </c>
      <c r="H273" s="70">
        <v>43.63</v>
      </c>
      <c r="I273" s="70">
        <f>11.58*1.22</f>
        <v>14.127599999999999</v>
      </c>
      <c r="J273" s="70">
        <f>32.05*1.22</f>
        <v>39.100999999999999</v>
      </c>
      <c r="K273" s="70">
        <f t="shared" si="53"/>
        <v>53.2286</v>
      </c>
      <c r="L273" s="70">
        <f t="shared" si="54"/>
        <v>14.127599999999999</v>
      </c>
      <c r="M273" s="70">
        <f t="shared" si="55"/>
        <v>39.100999999999999</v>
      </c>
      <c r="N273" s="70">
        <f t="shared" si="56"/>
        <v>53.2286</v>
      </c>
      <c r="O273" s="71">
        <f t="shared" si="52"/>
        <v>2.3766080227510581E-5</v>
      </c>
      <c r="P273" s="12"/>
      <c r="Q273" s="49"/>
      <c r="R273" s="11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12"/>
      <c r="AJ273" s="12"/>
    </row>
    <row r="274" spans="1:36" ht="33" customHeight="1" x14ac:dyDescent="0.25">
      <c r="A274" s="78"/>
      <c r="B274" s="67" t="s">
        <v>693</v>
      </c>
      <c r="C274" s="67" t="s">
        <v>694</v>
      </c>
      <c r="D274" s="67" t="s">
        <v>38</v>
      </c>
      <c r="E274" s="68" t="s">
        <v>695</v>
      </c>
      <c r="F274" s="67" t="s">
        <v>40</v>
      </c>
      <c r="G274" s="69">
        <v>1</v>
      </c>
      <c r="H274" s="70">
        <v>18.97</v>
      </c>
      <c r="I274" s="70">
        <f>2.71*1.22</f>
        <v>3.3062</v>
      </c>
      <c r="J274" s="70">
        <f>16.26*1.22</f>
        <v>19.837200000000003</v>
      </c>
      <c r="K274" s="70">
        <f t="shared" si="53"/>
        <v>23.143400000000003</v>
      </c>
      <c r="L274" s="70">
        <f t="shared" si="54"/>
        <v>3.3062</v>
      </c>
      <c r="M274" s="70">
        <f t="shared" si="55"/>
        <v>19.837200000000003</v>
      </c>
      <c r="N274" s="70">
        <f t="shared" si="56"/>
        <v>23.143400000000003</v>
      </c>
      <c r="O274" s="71">
        <f t="shared" si="52"/>
        <v>1.0333315194037951E-5</v>
      </c>
      <c r="P274" s="12"/>
      <c r="Q274" s="49"/>
      <c r="R274" s="79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  <c r="AF274" s="80"/>
      <c r="AG274" s="80"/>
      <c r="AH274" s="80"/>
      <c r="AI274" s="12"/>
      <c r="AJ274" s="12"/>
    </row>
    <row r="275" spans="1:36" ht="33" customHeight="1" x14ac:dyDescent="0.25">
      <c r="A275" s="1"/>
      <c r="B275" s="67" t="s">
        <v>696</v>
      </c>
      <c r="C275" s="67" t="s">
        <v>697</v>
      </c>
      <c r="D275" s="67" t="s">
        <v>24</v>
      </c>
      <c r="E275" s="68" t="s">
        <v>698</v>
      </c>
      <c r="F275" s="67" t="s">
        <v>380</v>
      </c>
      <c r="G275" s="69">
        <v>107.9</v>
      </c>
      <c r="H275" s="70">
        <v>108.62</v>
      </c>
      <c r="I275" s="70">
        <f>57.93*1.22</f>
        <v>70.674599999999998</v>
      </c>
      <c r="J275" s="70">
        <f>50.69*1.22</f>
        <v>61.841799999999999</v>
      </c>
      <c r="K275" s="70">
        <f t="shared" si="53"/>
        <v>132.5164</v>
      </c>
      <c r="L275" s="70">
        <f t="shared" si="54"/>
        <v>7625.7893400000003</v>
      </c>
      <c r="M275" s="70">
        <f t="shared" si="55"/>
        <v>6672.7302200000004</v>
      </c>
      <c r="N275" s="70">
        <f t="shared" si="56"/>
        <v>14298.519560000001</v>
      </c>
      <c r="O275" s="71">
        <f t="shared" si="52"/>
        <v>6.38415744538818E-3</v>
      </c>
      <c r="P275" s="12"/>
      <c r="Q275" s="49"/>
      <c r="R275" s="11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12"/>
      <c r="AJ275" s="12"/>
    </row>
    <row r="276" spans="1:36" ht="33" customHeight="1" x14ac:dyDescent="0.25">
      <c r="A276" s="1"/>
      <c r="B276" s="67" t="s">
        <v>699</v>
      </c>
      <c r="C276" s="67" t="s">
        <v>700</v>
      </c>
      <c r="D276" s="67" t="s">
        <v>24</v>
      </c>
      <c r="E276" s="68" t="s">
        <v>701</v>
      </c>
      <c r="F276" s="67" t="s">
        <v>380</v>
      </c>
      <c r="G276" s="69">
        <v>40.6</v>
      </c>
      <c r="H276" s="70">
        <v>51.74</v>
      </c>
      <c r="I276" s="70">
        <f>31.6*1.22</f>
        <v>38.552</v>
      </c>
      <c r="J276" s="70">
        <f>20.14*1.22</f>
        <v>24.570799999999998</v>
      </c>
      <c r="K276" s="70">
        <f t="shared" si="53"/>
        <v>63.122799999999998</v>
      </c>
      <c r="L276" s="70">
        <f t="shared" si="54"/>
        <v>1565.2112</v>
      </c>
      <c r="M276" s="70">
        <f t="shared" si="55"/>
        <v>997.57447999999999</v>
      </c>
      <c r="N276" s="70">
        <f t="shared" si="56"/>
        <v>2562.78568</v>
      </c>
      <c r="O276" s="71">
        <f t="shared" si="52"/>
        <v>1.1442602299665079E-3</v>
      </c>
      <c r="P276" s="12"/>
      <c r="Q276" s="49"/>
      <c r="R276" s="11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12"/>
      <c r="AJ276" s="12"/>
    </row>
    <row r="277" spans="1:36" ht="33" customHeight="1" x14ac:dyDescent="0.25">
      <c r="A277" s="1"/>
      <c r="B277" s="67" t="s">
        <v>702</v>
      </c>
      <c r="C277" s="67" t="s">
        <v>703</v>
      </c>
      <c r="D277" s="67" t="s">
        <v>24</v>
      </c>
      <c r="E277" s="68" t="s">
        <v>704</v>
      </c>
      <c r="F277" s="67" t="s">
        <v>380</v>
      </c>
      <c r="G277" s="69">
        <v>25.6</v>
      </c>
      <c r="H277" s="70">
        <v>84.27</v>
      </c>
      <c r="I277" s="70">
        <f>47.41*1.22</f>
        <v>57.840199999999996</v>
      </c>
      <c r="J277" s="70">
        <f>36.86*1.22</f>
        <v>44.969200000000001</v>
      </c>
      <c r="K277" s="70">
        <f t="shared" si="53"/>
        <v>102.8094</v>
      </c>
      <c r="L277" s="70">
        <f t="shared" si="54"/>
        <v>1480.70912</v>
      </c>
      <c r="M277" s="70">
        <f t="shared" si="55"/>
        <v>1151.2115200000001</v>
      </c>
      <c r="N277" s="70">
        <f t="shared" si="56"/>
        <v>2631.9206400000003</v>
      </c>
      <c r="O277" s="71">
        <f t="shared" si="52"/>
        <v>1.17512835360466E-3</v>
      </c>
      <c r="P277" s="12"/>
      <c r="Q277" s="49"/>
      <c r="R277" s="11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12"/>
      <c r="AJ277" s="12"/>
    </row>
    <row r="278" spans="1:36" ht="20.100000000000001" customHeight="1" x14ac:dyDescent="0.25">
      <c r="A278" s="1"/>
      <c r="B278" s="67" t="s">
        <v>705</v>
      </c>
      <c r="C278" s="67" t="s">
        <v>706</v>
      </c>
      <c r="D278" s="67" t="s">
        <v>24</v>
      </c>
      <c r="E278" s="68" t="s">
        <v>707</v>
      </c>
      <c r="F278" s="67" t="s">
        <v>380</v>
      </c>
      <c r="G278" s="69">
        <v>60.2</v>
      </c>
      <c r="H278" s="70">
        <v>47.81</v>
      </c>
      <c r="I278" s="70">
        <f>26.34*1.22</f>
        <v>32.134799999999998</v>
      </c>
      <c r="J278" s="70">
        <f>21.47*1.22</f>
        <v>26.193399999999997</v>
      </c>
      <c r="K278" s="70">
        <f t="shared" si="53"/>
        <v>58.328199999999995</v>
      </c>
      <c r="L278" s="70">
        <f t="shared" si="54"/>
        <v>1934.51496</v>
      </c>
      <c r="M278" s="70">
        <f t="shared" si="55"/>
        <v>1576.84268</v>
      </c>
      <c r="N278" s="70">
        <f t="shared" si="56"/>
        <v>3511.3576400000002</v>
      </c>
      <c r="O278" s="71">
        <f t="shared" si="52"/>
        <v>1.5677888837903348E-3</v>
      </c>
      <c r="P278" s="12"/>
      <c r="Q278" s="49"/>
      <c r="R278" s="11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12"/>
      <c r="AJ278" s="12"/>
    </row>
    <row r="279" spans="1:36" ht="33" customHeight="1" x14ac:dyDescent="0.25">
      <c r="A279" s="1"/>
      <c r="B279" s="67" t="s">
        <v>708</v>
      </c>
      <c r="C279" s="67" t="s">
        <v>709</v>
      </c>
      <c r="D279" s="67" t="s">
        <v>24</v>
      </c>
      <c r="E279" s="68" t="s">
        <v>710</v>
      </c>
      <c r="F279" s="67" t="s">
        <v>380</v>
      </c>
      <c r="G279" s="69">
        <v>17.399999999999999</v>
      </c>
      <c r="H279" s="70">
        <v>37.71</v>
      </c>
      <c r="I279" s="70">
        <f>26.34*1.22</f>
        <v>32.134799999999998</v>
      </c>
      <c r="J279" s="70">
        <f>11.37*1.22</f>
        <v>13.8714</v>
      </c>
      <c r="K279" s="70">
        <f t="shared" si="53"/>
        <v>46.0062</v>
      </c>
      <c r="L279" s="70">
        <f t="shared" si="54"/>
        <v>559.14551999999992</v>
      </c>
      <c r="M279" s="70">
        <f t="shared" si="55"/>
        <v>241.36235999999997</v>
      </c>
      <c r="N279" s="70">
        <f t="shared" si="56"/>
        <v>800.50787999999989</v>
      </c>
      <c r="O279" s="71">
        <f t="shared" si="52"/>
        <v>3.5741940420815896E-4</v>
      </c>
      <c r="P279" s="12"/>
      <c r="Q279" s="49"/>
      <c r="R279" s="11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12"/>
      <c r="AJ279" s="12"/>
    </row>
    <row r="280" spans="1:36" ht="33" customHeight="1" x14ac:dyDescent="0.25">
      <c r="A280" s="1"/>
      <c r="B280" s="67" t="s">
        <v>711</v>
      </c>
      <c r="C280" s="67" t="s">
        <v>712</v>
      </c>
      <c r="D280" s="67" t="s">
        <v>24</v>
      </c>
      <c r="E280" s="68" t="s">
        <v>713</v>
      </c>
      <c r="F280" s="67" t="s">
        <v>380</v>
      </c>
      <c r="G280" s="69">
        <v>97.3</v>
      </c>
      <c r="H280" s="70">
        <v>43.64</v>
      </c>
      <c r="I280" s="70">
        <f>26.34*1.22</f>
        <v>32.134799999999998</v>
      </c>
      <c r="J280" s="70">
        <f>17.3*1.22</f>
        <v>21.106000000000002</v>
      </c>
      <c r="K280" s="70">
        <f t="shared" si="53"/>
        <v>53.2408</v>
      </c>
      <c r="L280" s="70">
        <f t="shared" si="54"/>
        <v>3126.7160399999998</v>
      </c>
      <c r="M280" s="70">
        <f t="shared" si="55"/>
        <v>2053.6138000000001</v>
      </c>
      <c r="N280" s="70">
        <f t="shared" si="56"/>
        <v>5180.3298400000003</v>
      </c>
      <c r="O280" s="71">
        <f t="shared" si="52"/>
        <v>2.3129696175065106E-3</v>
      </c>
      <c r="P280" s="12"/>
      <c r="Q280" s="49"/>
      <c r="R280" s="11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12"/>
      <c r="AJ280" s="12"/>
    </row>
    <row r="281" spans="1:36" ht="33" customHeight="1" x14ac:dyDescent="0.25">
      <c r="A281" s="1"/>
      <c r="B281" s="67" t="s">
        <v>714</v>
      </c>
      <c r="C281" s="67" t="s">
        <v>715</v>
      </c>
      <c r="D281" s="67" t="s">
        <v>38</v>
      </c>
      <c r="E281" s="68" t="s">
        <v>716</v>
      </c>
      <c r="F281" s="67" t="s">
        <v>40</v>
      </c>
      <c r="G281" s="69">
        <v>1</v>
      </c>
      <c r="H281" s="70">
        <v>17.64</v>
      </c>
      <c r="I281" s="70">
        <f>8.93*1.22</f>
        <v>10.894599999999999</v>
      </c>
      <c r="J281" s="70">
        <f>8.71*1.22</f>
        <v>10.626200000000001</v>
      </c>
      <c r="K281" s="70">
        <f t="shared" si="53"/>
        <v>21.520800000000001</v>
      </c>
      <c r="L281" s="70">
        <f t="shared" si="54"/>
        <v>10.894599999999999</v>
      </c>
      <c r="M281" s="70">
        <f t="shared" si="55"/>
        <v>10.626200000000001</v>
      </c>
      <c r="N281" s="70">
        <f t="shared" si="56"/>
        <v>21.520800000000001</v>
      </c>
      <c r="O281" s="71">
        <f t="shared" si="52"/>
        <v>9.6088392210242185E-6</v>
      </c>
      <c r="P281" s="12"/>
      <c r="Q281" s="49"/>
      <c r="R281" s="11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12"/>
      <c r="AJ281" s="12"/>
    </row>
    <row r="282" spans="1:36" ht="33" customHeight="1" x14ac:dyDescent="0.25">
      <c r="A282" s="1"/>
      <c r="B282" s="67" t="s">
        <v>717</v>
      </c>
      <c r="C282" s="67" t="s">
        <v>551</v>
      </c>
      <c r="D282" s="67" t="s">
        <v>38</v>
      </c>
      <c r="E282" s="68" t="s">
        <v>552</v>
      </c>
      <c r="F282" s="67" t="s">
        <v>40</v>
      </c>
      <c r="G282" s="69">
        <v>17</v>
      </c>
      <c r="H282" s="70">
        <v>8.68</v>
      </c>
      <c r="I282" s="70">
        <f>5*1.22</f>
        <v>6.1</v>
      </c>
      <c r="J282" s="70">
        <f>3.68*1.22</f>
        <v>4.4896000000000003</v>
      </c>
      <c r="K282" s="70">
        <f t="shared" si="53"/>
        <v>10.589600000000001</v>
      </c>
      <c r="L282" s="70">
        <f t="shared" si="54"/>
        <v>103.69999999999999</v>
      </c>
      <c r="M282" s="70">
        <f t="shared" si="55"/>
        <v>76.3232</v>
      </c>
      <c r="N282" s="70">
        <f t="shared" si="56"/>
        <v>180.02319999999997</v>
      </c>
      <c r="O282" s="71">
        <f t="shared" si="52"/>
        <v>8.037870269015496E-5</v>
      </c>
      <c r="P282" s="12"/>
      <c r="Q282" s="49"/>
      <c r="R282" s="11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12"/>
      <c r="AJ282" s="12"/>
    </row>
    <row r="283" spans="1:36" ht="33" customHeight="1" x14ac:dyDescent="0.25">
      <c r="A283" s="1"/>
      <c r="B283" s="67" t="s">
        <v>718</v>
      </c>
      <c r="C283" s="67" t="s">
        <v>719</v>
      </c>
      <c r="D283" s="67" t="s">
        <v>38</v>
      </c>
      <c r="E283" s="68" t="s">
        <v>720</v>
      </c>
      <c r="F283" s="67" t="s">
        <v>40</v>
      </c>
      <c r="G283" s="69">
        <v>17</v>
      </c>
      <c r="H283" s="70">
        <v>12.4</v>
      </c>
      <c r="I283" s="70">
        <f>5.76*1.22</f>
        <v>7.0271999999999997</v>
      </c>
      <c r="J283" s="70">
        <f>6.64*1.22</f>
        <v>8.1007999999999996</v>
      </c>
      <c r="K283" s="70">
        <f t="shared" si="53"/>
        <v>15.128</v>
      </c>
      <c r="L283" s="70">
        <f t="shared" si="54"/>
        <v>119.46239999999999</v>
      </c>
      <c r="M283" s="70">
        <f t="shared" si="55"/>
        <v>137.71359999999999</v>
      </c>
      <c r="N283" s="70">
        <f t="shared" si="56"/>
        <v>257.17599999999999</v>
      </c>
      <c r="O283" s="71">
        <f t="shared" si="52"/>
        <v>1.148267181287928E-4</v>
      </c>
      <c r="P283" s="12"/>
      <c r="Q283" s="49"/>
      <c r="R283" s="11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12"/>
      <c r="AJ283" s="12"/>
    </row>
    <row r="284" spans="1:36" ht="33" customHeight="1" x14ac:dyDescent="0.25">
      <c r="A284" s="1"/>
      <c r="B284" s="67" t="s">
        <v>721</v>
      </c>
      <c r="C284" s="67" t="s">
        <v>578</v>
      </c>
      <c r="D284" s="67" t="s">
        <v>38</v>
      </c>
      <c r="E284" s="68" t="s">
        <v>579</v>
      </c>
      <c r="F284" s="67" t="s">
        <v>40</v>
      </c>
      <c r="G284" s="69">
        <v>17</v>
      </c>
      <c r="H284" s="70">
        <v>14.57</v>
      </c>
      <c r="I284" s="70">
        <f>5.33*1.22</f>
        <v>6.5026000000000002</v>
      </c>
      <c r="J284" s="70">
        <f>9.24*1.22</f>
        <v>11.2728</v>
      </c>
      <c r="K284" s="70">
        <f t="shared" si="53"/>
        <v>17.775400000000001</v>
      </c>
      <c r="L284" s="70">
        <f t="shared" si="54"/>
        <v>110.5442</v>
      </c>
      <c r="M284" s="70">
        <f t="shared" si="55"/>
        <v>191.63759999999999</v>
      </c>
      <c r="N284" s="70">
        <f t="shared" si="56"/>
        <v>302.18180000000001</v>
      </c>
      <c r="O284" s="71">
        <f t="shared" si="52"/>
        <v>1.3492139380133156E-4</v>
      </c>
      <c r="P284" s="12"/>
      <c r="Q284" s="49"/>
      <c r="R284" s="11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12"/>
      <c r="AJ284" s="12"/>
    </row>
    <row r="285" spans="1:36" ht="33" customHeight="1" x14ac:dyDescent="0.25">
      <c r="A285" s="1"/>
      <c r="B285" s="67" t="s">
        <v>722</v>
      </c>
      <c r="C285" s="67" t="s">
        <v>723</v>
      </c>
      <c r="D285" s="67" t="s">
        <v>38</v>
      </c>
      <c r="E285" s="68" t="s">
        <v>724</v>
      </c>
      <c r="F285" s="67" t="s">
        <v>40</v>
      </c>
      <c r="G285" s="69">
        <v>34</v>
      </c>
      <c r="H285" s="70">
        <v>10.93</v>
      </c>
      <c r="I285" s="70">
        <f>7.17*1.22</f>
        <v>8.747399999999999</v>
      </c>
      <c r="J285" s="70">
        <f>3.76*1.22</f>
        <v>4.5871999999999993</v>
      </c>
      <c r="K285" s="70">
        <f t="shared" si="53"/>
        <v>13.334599999999998</v>
      </c>
      <c r="L285" s="70">
        <f t="shared" si="54"/>
        <v>297.41159999999996</v>
      </c>
      <c r="M285" s="70">
        <f t="shared" si="55"/>
        <v>155.96479999999997</v>
      </c>
      <c r="N285" s="70">
        <f t="shared" si="56"/>
        <v>453.37639999999993</v>
      </c>
      <c r="O285" s="71">
        <f t="shared" si="52"/>
        <v>2.0242839179801698E-4</v>
      </c>
      <c r="P285" s="12"/>
      <c r="Q285" s="49"/>
      <c r="R285" s="11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12"/>
      <c r="AJ285" s="12"/>
    </row>
    <row r="286" spans="1:36" ht="33" customHeight="1" x14ac:dyDescent="0.25">
      <c r="A286" s="1"/>
      <c r="B286" s="67" t="s">
        <v>725</v>
      </c>
      <c r="C286" s="67" t="s">
        <v>587</v>
      </c>
      <c r="D286" s="67" t="s">
        <v>38</v>
      </c>
      <c r="E286" s="68" t="s">
        <v>588</v>
      </c>
      <c r="F286" s="67" t="s">
        <v>73</v>
      </c>
      <c r="G286" s="69">
        <v>102</v>
      </c>
      <c r="H286" s="70">
        <v>38.26</v>
      </c>
      <c r="I286" s="70">
        <f>25.21*1.22</f>
        <v>30.7562</v>
      </c>
      <c r="J286" s="70">
        <f>13.05*1.22</f>
        <v>15.921000000000001</v>
      </c>
      <c r="K286" s="70">
        <f t="shared" si="53"/>
        <v>46.677199999999999</v>
      </c>
      <c r="L286" s="70">
        <f t="shared" si="54"/>
        <v>3137.1324</v>
      </c>
      <c r="M286" s="70">
        <f t="shared" si="55"/>
        <v>1623.942</v>
      </c>
      <c r="N286" s="70">
        <f t="shared" si="56"/>
        <v>4761.0743999999995</v>
      </c>
      <c r="O286" s="71">
        <f t="shared" si="52"/>
        <v>2.1257759204552965E-3</v>
      </c>
      <c r="P286" s="12"/>
      <c r="Q286" s="49"/>
      <c r="R286" s="81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12"/>
      <c r="AJ286" s="12"/>
    </row>
    <row r="287" spans="1:36" ht="20.100000000000001" customHeight="1" x14ac:dyDescent="0.25">
      <c r="A287" s="1"/>
      <c r="B287" s="67" t="s">
        <v>726</v>
      </c>
      <c r="C287" s="67" t="s">
        <v>727</v>
      </c>
      <c r="D287" s="67" t="s">
        <v>38</v>
      </c>
      <c r="E287" s="68" t="s">
        <v>728</v>
      </c>
      <c r="F287" s="67" t="s">
        <v>40</v>
      </c>
      <c r="G287" s="69">
        <v>1</v>
      </c>
      <c r="H287" s="70">
        <v>27.69</v>
      </c>
      <c r="I287" s="70">
        <f>4.86*1.22</f>
        <v>5.9292000000000007</v>
      </c>
      <c r="J287" s="70">
        <f>22.83*1.22</f>
        <v>27.852599999999999</v>
      </c>
      <c r="K287" s="70">
        <f t="shared" si="53"/>
        <v>33.781799999999997</v>
      </c>
      <c r="L287" s="70">
        <f t="shared" si="54"/>
        <v>5.9292000000000007</v>
      </c>
      <c r="M287" s="70">
        <f t="shared" si="55"/>
        <v>27.852599999999999</v>
      </c>
      <c r="N287" s="70">
        <f t="shared" si="56"/>
        <v>33.781799999999997</v>
      </c>
      <c r="O287" s="71">
        <f t="shared" si="52"/>
        <v>1.5083262926879851E-5</v>
      </c>
      <c r="P287" s="12"/>
      <c r="Q287" s="49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12"/>
      <c r="AJ287" s="12"/>
    </row>
    <row r="288" spans="1:36" ht="20.100000000000001" customHeight="1" x14ac:dyDescent="0.25">
      <c r="A288" s="82"/>
      <c r="B288" s="67" t="s">
        <v>729</v>
      </c>
      <c r="C288" s="67" t="s">
        <v>730</v>
      </c>
      <c r="D288" s="67" t="s">
        <v>467</v>
      </c>
      <c r="E288" s="68" t="s">
        <v>731</v>
      </c>
      <c r="F288" s="67" t="s">
        <v>327</v>
      </c>
      <c r="G288" s="69">
        <v>1</v>
      </c>
      <c r="H288" s="70">
        <v>4546.41</v>
      </c>
      <c r="I288" s="70">
        <f>2100.26*1.22</f>
        <v>2562.3172000000004</v>
      </c>
      <c r="J288" s="70">
        <f>2446.15*1.22</f>
        <v>2984.3029999999999</v>
      </c>
      <c r="K288" s="70">
        <f t="shared" si="53"/>
        <v>5546.6202000000003</v>
      </c>
      <c r="L288" s="70">
        <f t="shared" si="54"/>
        <v>2562.3172000000004</v>
      </c>
      <c r="M288" s="70">
        <f t="shared" si="55"/>
        <v>2984.3029999999999</v>
      </c>
      <c r="N288" s="70">
        <f t="shared" si="56"/>
        <v>5546.6202000000003</v>
      </c>
      <c r="O288" s="71">
        <f t="shared" si="52"/>
        <v>2.4765148935859817E-3</v>
      </c>
      <c r="P288" s="12"/>
      <c r="Q288" s="49"/>
      <c r="R288" s="83"/>
      <c r="S288" s="83"/>
      <c r="T288" s="83"/>
      <c r="U288" s="83"/>
      <c r="V288" s="83"/>
      <c r="W288" s="83"/>
      <c r="X288" s="83"/>
      <c r="Y288" s="83"/>
      <c r="Z288" s="83"/>
      <c r="AA288" s="83"/>
      <c r="AB288" s="83"/>
      <c r="AC288" s="83"/>
      <c r="AD288" s="83"/>
      <c r="AE288" s="83"/>
      <c r="AF288" s="83"/>
      <c r="AG288" s="83"/>
      <c r="AH288" s="83"/>
      <c r="AI288" s="12"/>
      <c r="AJ288" s="12"/>
    </row>
    <row r="289" spans="1:36" ht="33" customHeight="1" x14ac:dyDescent="0.25">
      <c r="A289" s="82"/>
      <c r="B289" s="67" t="s">
        <v>732</v>
      </c>
      <c r="C289" s="67" t="s">
        <v>733</v>
      </c>
      <c r="D289" s="67" t="s">
        <v>38</v>
      </c>
      <c r="E289" s="68" t="s">
        <v>734</v>
      </c>
      <c r="F289" s="67" t="s">
        <v>53</v>
      </c>
      <c r="G289" s="69">
        <v>0.2</v>
      </c>
      <c r="H289" s="70">
        <v>67.599999999999994</v>
      </c>
      <c r="I289" s="70">
        <f>25.14*1.22</f>
        <v>30.6708</v>
      </c>
      <c r="J289" s="70">
        <f>42.46*1.22</f>
        <v>51.801200000000001</v>
      </c>
      <c r="K289" s="70">
        <f t="shared" si="53"/>
        <v>82.472000000000008</v>
      </c>
      <c r="L289" s="70">
        <f t="shared" si="54"/>
        <v>6.1341600000000005</v>
      </c>
      <c r="M289" s="70">
        <f t="shared" si="55"/>
        <v>10.360240000000001</v>
      </c>
      <c r="N289" s="70">
        <f t="shared" si="56"/>
        <v>16.494400000000002</v>
      </c>
      <c r="O289" s="71">
        <f t="shared" si="52"/>
        <v>7.3645978610117597E-6</v>
      </c>
      <c r="P289" s="12"/>
      <c r="Q289" s="49"/>
      <c r="R289" s="83"/>
      <c r="S289" s="83"/>
      <c r="T289" s="83"/>
      <c r="U289" s="83"/>
      <c r="V289" s="83"/>
      <c r="W289" s="83"/>
      <c r="X289" s="83"/>
      <c r="Y289" s="83"/>
      <c r="Z289" s="83"/>
      <c r="AA289" s="83"/>
      <c r="AB289" s="83"/>
      <c r="AC289" s="83"/>
      <c r="AD289" s="83"/>
      <c r="AE289" s="83"/>
      <c r="AF289" s="83"/>
      <c r="AG289" s="83"/>
      <c r="AH289" s="83"/>
      <c r="AI289" s="12"/>
      <c r="AJ289" s="12"/>
    </row>
    <row r="290" spans="1:36" ht="33" customHeight="1" x14ac:dyDescent="0.25">
      <c r="A290" s="82"/>
      <c r="B290" s="67" t="s">
        <v>735</v>
      </c>
      <c r="C290" s="67" t="s">
        <v>736</v>
      </c>
      <c r="D290" s="67" t="s">
        <v>38</v>
      </c>
      <c r="E290" s="68" t="s">
        <v>737</v>
      </c>
      <c r="F290" s="67" t="s">
        <v>40</v>
      </c>
      <c r="G290" s="69">
        <v>19</v>
      </c>
      <c r="H290" s="70">
        <v>11.47</v>
      </c>
      <c r="I290" s="70">
        <f>0.58*1.22</f>
        <v>0.7075999999999999</v>
      </c>
      <c r="J290" s="70">
        <f>10.89*1.22</f>
        <v>13.2858</v>
      </c>
      <c r="K290" s="70">
        <f t="shared" si="53"/>
        <v>13.993399999999999</v>
      </c>
      <c r="L290" s="70">
        <f t="shared" si="54"/>
        <v>13.444399999999998</v>
      </c>
      <c r="M290" s="70">
        <f t="shared" si="55"/>
        <v>252.43020000000001</v>
      </c>
      <c r="N290" s="70">
        <f t="shared" si="56"/>
        <v>265.87459999999999</v>
      </c>
      <c r="O290" s="71">
        <f t="shared" si="52"/>
        <v>1.1871056300667845E-4</v>
      </c>
      <c r="P290" s="12"/>
      <c r="Q290" s="49"/>
      <c r="R290" s="83"/>
      <c r="S290" s="83"/>
      <c r="T290" s="83"/>
      <c r="U290" s="83"/>
      <c r="V290" s="83"/>
      <c r="W290" s="83"/>
      <c r="X290" s="83"/>
      <c r="Y290" s="83"/>
      <c r="Z290" s="83"/>
      <c r="AA290" s="83"/>
      <c r="AB290" s="83"/>
      <c r="AC290" s="83"/>
      <c r="AD290" s="83"/>
      <c r="AE290" s="83"/>
      <c r="AF290" s="83"/>
      <c r="AG290" s="83"/>
      <c r="AH290" s="83"/>
      <c r="AI290" s="12"/>
      <c r="AJ290" s="12"/>
    </row>
    <row r="291" spans="1:36" ht="33" customHeight="1" x14ac:dyDescent="0.25">
      <c r="A291" s="84"/>
      <c r="B291" s="67" t="s">
        <v>738</v>
      </c>
      <c r="C291" s="67" t="s">
        <v>739</v>
      </c>
      <c r="D291" s="67" t="s">
        <v>38</v>
      </c>
      <c r="E291" s="68" t="s">
        <v>740</v>
      </c>
      <c r="F291" s="67" t="s">
        <v>40</v>
      </c>
      <c r="G291" s="69">
        <v>17</v>
      </c>
      <c r="H291" s="70">
        <v>17.07</v>
      </c>
      <c r="I291" s="70">
        <f>2.39*1.22</f>
        <v>2.9157999999999999</v>
      </c>
      <c r="J291" s="70">
        <f>14.68*1.22</f>
        <v>17.909599999999998</v>
      </c>
      <c r="K291" s="70">
        <f t="shared" si="53"/>
        <v>20.825399999999998</v>
      </c>
      <c r="L291" s="70">
        <f t="shared" si="54"/>
        <v>49.568599999999996</v>
      </c>
      <c r="M291" s="70">
        <f t="shared" si="55"/>
        <v>304.46319999999997</v>
      </c>
      <c r="N291" s="70">
        <f t="shared" si="56"/>
        <v>354.03179999999998</v>
      </c>
      <c r="O291" s="71">
        <f t="shared" si="52"/>
        <v>1.5807194181116879E-4</v>
      </c>
      <c r="P291" s="12"/>
      <c r="Q291" s="49"/>
      <c r="R291" s="83"/>
      <c r="S291" s="83"/>
      <c r="T291" s="83"/>
      <c r="U291" s="83"/>
      <c r="V291" s="83"/>
      <c r="W291" s="83"/>
      <c r="X291" s="83"/>
      <c r="Y291" s="83"/>
      <c r="Z291" s="83"/>
      <c r="AA291" s="83"/>
      <c r="AB291" s="83"/>
      <c r="AC291" s="83"/>
      <c r="AD291" s="83"/>
      <c r="AE291" s="83"/>
      <c r="AF291" s="83"/>
      <c r="AG291" s="83"/>
      <c r="AH291" s="83"/>
      <c r="AI291" s="12"/>
      <c r="AJ291" s="12"/>
    </row>
    <row r="292" spans="1:36" ht="33" customHeight="1" x14ac:dyDescent="0.25">
      <c r="A292" s="84"/>
      <c r="B292" s="67" t="s">
        <v>741</v>
      </c>
      <c r="C292" s="67" t="s">
        <v>742</v>
      </c>
      <c r="D292" s="67" t="s">
        <v>38</v>
      </c>
      <c r="E292" s="68" t="s">
        <v>743</v>
      </c>
      <c r="F292" s="67" t="s">
        <v>40</v>
      </c>
      <c r="G292" s="69">
        <v>1</v>
      </c>
      <c r="H292" s="70">
        <v>37.67</v>
      </c>
      <c r="I292" s="70">
        <f>8.8*1.22</f>
        <v>10.736000000000001</v>
      </c>
      <c r="J292" s="70">
        <f>29.07*1.22</f>
        <v>35.465400000000002</v>
      </c>
      <c r="K292" s="70">
        <f t="shared" si="53"/>
        <v>46.201400000000007</v>
      </c>
      <c r="L292" s="70">
        <f t="shared" si="54"/>
        <v>10.736000000000001</v>
      </c>
      <c r="M292" s="70">
        <f t="shared" si="55"/>
        <v>35.465400000000002</v>
      </c>
      <c r="N292" s="70">
        <f t="shared" si="56"/>
        <v>46.201400000000007</v>
      </c>
      <c r="O292" s="71">
        <f t="shared" si="52"/>
        <v>2.0628500073706758E-5</v>
      </c>
      <c r="P292" s="12"/>
      <c r="Q292" s="49"/>
      <c r="R292" s="83"/>
      <c r="S292" s="83"/>
      <c r="T292" s="83"/>
      <c r="U292" s="83"/>
      <c r="V292" s="83"/>
      <c r="W292" s="83"/>
      <c r="X292" s="83"/>
      <c r="Y292" s="83"/>
      <c r="Z292" s="83"/>
      <c r="AA292" s="83"/>
      <c r="AB292" s="83"/>
      <c r="AC292" s="83"/>
      <c r="AD292" s="83"/>
      <c r="AE292" s="83"/>
      <c r="AF292" s="83"/>
      <c r="AG292" s="83"/>
      <c r="AH292" s="83"/>
      <c r="AI292" s="12"/>
      <c r="AJ292" s="12"/>
    </row>
    <row r="293" spans="1:36" ht="20.100000000000001" customHeight="1" x14ac:dyDescent="0.25">
      <c r="A293" s="84"/>
      <c r="B293" s="59" t="s">
        <v>744</v>
      </c>
      <c r="C293" s="59"/>
      <c r="D293" s="59"/>
      <c r="E293" s="60" t="s">
        <v>745</v>
      </c>
      <c r="F293" s="60"/>
      <c r="G293" s="61"/>
      <c r="H293" s="62"/>
      <c r="I293" s="60"/>
      <c r="J293" s="60"/>
      <c r="K293" s="60"/>
      <c r="L293" s="60"/>
      <c r="M293" s="60"/>
      <c r="N293" s="63">
        <f>SUM(N294:N309)</f>
        <v>21589.642160000003</v>
      </c>
      <c r="O293" s="64">
        <f>N293/$N$472</f>
        <v>9.6395766121559635E-3</v>
      </c>
      <c r="P293" s="12"/>
      <c r="Q293" s="49"/>
      <c r="R293" s="83"/>
      <c r="S293" s="83"/>
      <c r="T293" s="83"/>
      <c r="U293" s="83"/>
      <c r="V293" s="83"/>
      <c r="W293" s="83"/>
      <c r="X293" s="83"/>
      <c r="Y293" s="83"/>
      <c r="Z293" s="83"/>
      <c r="AA293" s="83"/>
      <c r="AB293" s="83"/>
      <c r="AC293" s="83"/>
      <c r="AD293" s="83"/>
      <c r="AE293" s="83"/>
      <c r="AF293" s="83"/>
      <c r="AG293" s="83"/>
      <c r="AH293" s="83"/>
      <c r="AI293" s="12"/>
      <c r="AJ293" s="12"/>
    </row>
    <row r="294" spans="1:36" ht="33" customHeight="1" x14ac:dyDescent="0.25">
      <c r="A294" s="84"/>
      <c r="B294" s="67" t="s">
        <v>746</v>
      </c>
      <c r="C294" s="67" t="s">
        <v>747</v>
      </c>
      <c r="D294" s="67" t="s">
        <v>467</v>
      </c>
      <c r="E294" s="68" t="s">
        <v>748</v>
      </c>
      <c r="F294" s="67" t="s">
        <v>327</v>
      </c>
      <c r="G294" s="69">
        <v>4</v>
      </c>
      <c r="H294" s="70">
        <v>541.66</v>
      </c>
      <c r="I294" s="70">
        <f>385.5*1.22</f>
        <v>470.31</v>
      </c>
      <c r="J294" s="70">
        <f>156.16*1.22</f>
        <v>190.51519999999999</v>
      </c>
      <c r="K294" s="70">
        <f t="shared" ref="K294:K309" si="57">I294+J294</f>
        <v>660.8252</v>
      </c>
      <c r="L294" s="70">
        <f t="shared" ref="L294:L309" si="58">G294*I294</f>
        <v>1881.24</v>
      </c>
      <c r="M294" s="70">
        <f t="shared" ref="M294:M309" si="59">G294*J294</f>
        <v>762.06079999999997</v>
      </c>
      <c r="N294" s="70">
        <f t="shared" ref="N294:N309" si="60">L294+M294</f>
        <v>2643.3008</v>
      </c>
      <c r="O294" s="71">
        <f t="shared" si="52"/>
        <v>1.1802094903537366E-3</v>
      </c>
      <c r="Q294" s="49"/>
      <c r="R294" s="83"/>
      <c r="S294" s="83"/>
      <c r="T294" s="83"/>
      <c r="U294" s="83"/>
      <c r="V294" s="83"/>
      <c r="W294" s="83"/>
      <c r="X294" s="83"/>
      <c r="Y294" s="83"/>
      <c r="Z294" s="83"/>
      <c r="AA294" s="83"/>
      <c r="AB294" s="83"/>
      <c r="AC294" s="83"/>
      <c r="AD294" s="83"/>
      <c r="AE294" s="83"/>
      <c r="AF294" s="83"/>
      <c r="AG294" s="83"/>
      <c r="AH294" s="83"/>
      <c r="AI294" s="12"/>
      <c r="AJ294" s="12"/>
    </row>
    <row r="295" spans="1:36" ht="20.100000000000001" customHeight="1" x14ac:dyDescent="0.25">
      <c r="A295" s="84"/>
      <c r="B295" s="67" t="s">
        <v>749</v>
      </c>
      <c r="C295" s="67" t="s">
        <v>750</v>
      </c>
      <c r="D295" s="67" t="s">
        <v>467</v>
      </c>
      <c r="E295" s="68" t="s">
        <v>751</v>
      </c>
      <c r="F295" s="67" t="s">
        <v>327</v>
      </c>
      <c r="G295" s="69">
        <v>2</v>
      </c>
      <c r="H295" s="70">
        <v>454.9</v>
      </c>
      <c r="I295" s="70">
        <f>220.25*1.22</f>
        <v>268.70499999999998</v>
      </c>
      <c r="J295" s="70">
        <f>234.65*1.22</f>
        <v>286.27300000000002</v>
      </c>
      <c r="K295" s="70">
        <f t="shared" si="57"/>
        <v>554.97800000000007</v>
      </c>
      <c r="L295" s="70">
        <f t="shared" si="58"/>
        <v>537.41</v>
      </c>
      <c r="M295" s="70">
        <f t="shared" si="59"/>
        <v>572.54600000000005</v>
      </c>
      <c r="N295" s="70">
        <f t="shared" si="60"/>
        <v>1109.9560000000001</v>
      </c>
      <c r="O295" s="71">
        <f t="shared" si="52"/>
        <v>4.9558514304352808E-4</v>
      </c>
      <c r="P295" s="12"/>
      <c r="Q295" s="49"/>
      <c r="R295" s="83"/>
      <c r="S295" s="83"/>
      <c r="T295" s="83"/>
      <c r="U295" s="83"/>
      <c r="V295" s="83"/>
      <c r="W295" s="83"/>
      <c r="X295" s="83"/>
      <c r="Y295" s="83"/>
      <c r="Z295" s="83"/>
      <c r="AA295" s="83"/>
      <c r="AB295" s="83"/>
      <c r="AC295" s="83"/>
      <c r="AD295" s="83"/>
      <c r="AE295" s="83"/>
      <c r="AF295" s="83"/>
      <c r="AG295" s="83"/>
      <c r="AH295" s="83"/>
      <c r="AI295" s="12"/>
      <c r="AJ295" s="12"/>
    </row>
    <row r="296" spans="1:36" ht="20.100000000000001" customHeight="1" x14ac:dyDescent="0.25">
      <c r="A296" s="84"/>
      <c r="B296" s="67" t="s">
        <v>752</v>
      </c>
      <c r="C296" s="67">
        <v>4283</v>
      </c>
      <c r="D296" s="67" t="s">
        <v>467</v>
      </c>
      <c r="E296" s="68" t="s">
        <v>753</v>
      </c>
      <c r="F296" s="67" t="s">
        <v>40</v>
      </c>
      <c r="G296" s="69">
        <v>2</v>
      </c>
      <c r="H296" s="70">
        <v>44.33</v>
      </c>
      <c r="I296" s="70">
        <f>17.07*1.22</f>
        <v>20.825399999999998</v>
      </c>
      <c r="J296" s="70">
        <f>27.26*1.22</f>
        <v>33.257200000000005</v>
      </c>
      <c r="K296" s="70">
        <f t="shared" si="57"/>
        <v>54.082599999999999</v>
      </c>
      <c r="L296" s="70">
        <f t="shared" si="58"/>
        <v>41.650799999999997</v>
      </c>
      <c r="M296" s="70">
        <f t="shared" si="59"/>
        <v>66.514400000000009</v>
      </c>
      <c r="N296" s="70">
        <f t="shared" si="60"/>
        <v>108.1652</v>
      </c>
      <c r="O296" s="71">
        <f t="shared" si="52"/>
        <v>4.8294766742404033E-5</v>
      </c>
      <c r="P296" s="12"/>
      <c r="Q296" s="49"/>
      <c r="R296" s="83"/>
      <c r="S296" s="83"/>
      <c r="T296" s="83"/>
      <c r="U296" s="83"/>
      <c r="V296" s="83"/>
      <c r="W296" s="83"/>
      <c r="X296" s="83"/>
      <c r="Y296" s="83"/>
      <c r="Z296" s="83"/>
      <c r="AA296" s="83"/>
      <c r="AB296" s="83"/>
      <c r="AC296" s="83"/>
      <c r="AD296" s="83"/>
      <c r="AE296" s="83"/>
      <c r="AF296" s="83"/>
      <c r="AG296" s="83"/>
      <c r="AH296" s="83"/>
      <c r="AI296" s="12"/>
      <c r="AJ296" s="12"/>
    </row>
    <row r="297" spans="1:36" ht="33" customHeight="1" x14ac:dyDescent="0.25">
      <c r="A297" s="84"/>
      <c r="B297" s="67" t="s">
        <v>754</v>
      </c>
      <c r="C297" s="67" t="s">
        <v>658</v>
      </c>
      <c r="D297" s="67" t="s">
        <v>38</v>
      </c>
      <c r="E297" s="68" t="s">
        <v>659</v>
      </c>
      <c r="F297" s="67" t="s">
        <v>40</v>
      </c>
      <c r="G297" s="69">
        <v>3</v>
      </c>
      <c r="H297" s="70">
        <v>71.11</v>
      </c>
      <c r="I297" s="70">
        <f>6.57*1.22</f>
        <v>8.0153999999999996</v>
      </c>
      <c r="J297" s="70">
        <f>64.54*1.22</f>
        <v>78.738800000000012</v>
      </c>
      <c r="K297" s="70">
        <f t="shared" si="57"/>
        <v>86.754200000000012</v>
      </c>
      <c r="L297" s="70">
        <f t="shared" si="58"/>
        <v>24.046199999999999</v>
      </c>
      <c r="M297" s="70">
        <f t="shared" si="59"/>
        <v>236.21640000000002</v>
      </c>
      <c r="N297" s="70">
        <f t="shared" si="60"/>
        <v>260.26260000000002</v>
      </c>
      <c r="O297" s="71">
        <f t="shared" si="52"/>
        <v>1.1620485663384902E-4</v>
      </c>
      <c r="P297" s="12"/>
      <c r="Q297" s="49"/>
      <c r="R297" s="83"/>
      <c r="S297" s="83"/>
      <c r="T297" s="83"/>
      <c r="U297" s="83"/>
      <c r="V297" s="83"/>
      <c r="W297" s="83"/>
      <c r="X297" s="83"/>
      <c r="Y297" s="83"/>
      <c r="Z297" s="83"/>
      <c r="AA297" s="83"/>
      <c r="AB297" s="83"/>
      <c r="AC297" s="83"/>
      <c r="AD297" s="83"/>
      <c r="AE297" s="83"/>
      <c r="AF297" s="83"/>
      <c r="AG297" s="83"/>
      <c r="AH297" s="83"/>
      <c r="AI297" s="12"/>
      <c r="AJ297" s="12"/>
    </row>
    <row r="298" spans="1:36" ht="33" customHeight="1" x14ac:dyDescent="0.25">
      <c r="A298" s="84"/>
      <c r="B298" s="67" t="s">
        <v>755</v>
      </c>
      <c r="C298" s="67" t="s">
        <v>661</v>
      </c>
      <c r="D298" s="67" t="s">
        <v>38</v>
      </c>
      <c r="E298" s="68" t="s">
        <v>662</v>
      </c>
      <c r="F298" s="67" t="s">
        <v>40</v>
      </c>
      <c r="G298" s="69">
        <v>15</v>
      </c>
      <c r="H298" s="70">
        <v>47.1</v>
      </c>
      <c r="I298" s="70">
        <f>11.42*1.22</f>
        <v>13.932399999999999</v>
      </c>
      <c r="J298" s="70">
        <f>35.68*1.22</f>
        <v>43.529600000000002</v>
      </c>
      <c r="K298" s="70">
        <f t="shared" si="57"/>
        <v>57.462000000000003</v>
      </c>
      <c r="L298" s="70">
        <f t="shared" si="58"/>
        <v>208.98599999999999</v>
      </c>
      <c r="M298" s="70">
        <f t="shared" si="59"/>
        <v>652.94400000000007</v>
      </c>
      <c r="N298" s="70">
        <f t="shared" si="60"/>
        <v>861.93000000000006</v>
      </c>
      <c r="O298" s="71">
        <f t="shared" si="52"/>
        <v>3.8484381574000061E-4</v>
      </c>
      <c r="P298" s="12"/>
      <c r="Q298" s="49"/>
      <c r="R298" s="83"/>
      <c r="S298" s="83"/>
      <c r="T298" s="83"/>
      <c r="U298" s="83"/>
      <c r="V298" s="83"/>
      <c r="W298" s="83"/>
      <c r="X298" s="83"/>
      <c r="Y298" s="83"/>
      <c r="Z298" s="83"/>
      <c r="AA298" s="83"/>
      <c r="AB298" s="83"/>
      <c r="AC298" s="83"/>
      <c r="AD298" s="83"/>
      <c r="AE298" s="83"/>
      <c r="AF298" s="83"/>
      <c r="AG298" s="83"/>
      <c r="AH298" s="83"/>
      <c r="AI298" s="12"/>
      <c r="AJ298" s="12"/>
    </row>
    <row r="299" spans="1:36" ht="33" customHeight="1" x14ac:dyDescent="0.25">
      <c r="A299" s="84"/>
      <c r="B299" s="67" t="s">
        <v>756</v>
      </c>
      <c r="C299" s="67" t="s">
        <v>757</v>
      </c>
      <c r="D299" s="67" t="s">
        <v>38</v>
      </c>
      <c r="E299" s="68" t="s">
        <v>758</v>
      </c>
      <c r="F299" s="67" t="s">
        <v>40</v>
      </c>
      <c r="G299" s="69">
        <v>1</v>
      </c>
      <c r="H299" s="70">
        <v>42.46</v>
      </c>
      <c r="I299" s="70">
        <f>8.67*1.22</f>
        <v>10.577399999999999</v>
      </c>
      <c r="J299" s="70">
        <f>33.79*1.22</f>
        <v>41.223799999999997</v>
      </c>
      <c r="K299" s="70">
        <f t="shared" si="57"/>
        <v>51.801199999999994</v>
      </c>
      <c r="L299" s="70">
        <f t="shared" si="58"/>
        <v>10.577399999999999</v>
      </c>
      <c r="M299" s="70">
        <f t="shared" si="59"/>
        <v>41.223799999999997</v>
      </c>
      <c r="N299" s="70">
        <f t="shared" si="60"/>
        <v>51.801199999999994</v>
      </c>
      <c r="O299" s="71">
        <f t="shared" si="52"/>
        <v>2.3128759258769174E-5</v>
      </c>
      <c r="P299" s="12"/>
      <c r="Q299" s="49"/>
      <c r="R299" s="83"/>
      <c r="S299" s="83"/>
      <c r="T299" s="83"/>
      <c r="U299" s="83"/>
      <c r="V299" s="83"/>
      <c r="W299" s="83"/>
      <c r="X299" s="83"/>
      <c r="Y299" s="83"/>
      <c r="Z299" s="83"/>
      <c r="AA299" s="83"/>
      <c r="AB299" s="83"/>
      <c r="AC299" s="83"/>
      <c r="AD299" s="83"/>
      <c r="AE299" s="83"/>
      <c r="AF299" s="83"/>
      <c r="AG299" s="83"/>
      <c r="AH299" s="83"/>
      <c r="AI299" s="12"/>
      <c r="AJ299" s="12"/>
    </row>
    <row r="300" spans="1:36" ht="33" customHeight="1" x14ac:dyDescent="0.25">
      <c r="A300" s="85"/>
      <c r="B300" s="67" t="s">
        <v>759</v>
      </c>
      <c r="C300" s="67" t="s">
        <v>760</v>
      </c>
      <c r="D300" s="67" t="s">
        <v>38</v>
      </c>
      <c r="E300" s="68" t="s">
        <v>761</v>
      </c>
      <c r="F300" s="67" t="s">
        <v>40</v>
      </c>
      <c r="G300" s="69">
        <v>1</v>
      </c>
      <c r="H300" s="70">
        <v>54.45</v>
      </c>
      <c r="I300" s="70">
        <f>13.51*1.22</f>
        <v>16.482199999999999</v>
      </c>
      <c r="J300" s="70">
        <f>40.94*1.22</f>
        <v>49.946799999999996</v>
      </c>
      <c r="K300" s="70">
        <f t="shared" si="57"/>
        <v>66.429000000000002</v>
      </c>
      <c r="L300" s="70">
        <f t="shared" si="58"/>
        <v>16.482199999999999</v>
      </c>
      <c r="M300" s="70">
        <f t="shared" si="59"/>
        <v>49.946799999999996</v>
      </c>
      <c r="N300" s="70">
        <f t="shared" si="60"/>
        <v>66.429000000000002</v>
      </c>
      <c r="O300" s="71">
        <f t="shared" si="52"/>
        <v>2.9659937391426798E-5</v>
      </c>
      <c r="P300" s="12"/>
      <c r="Q300" s="49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</row>
    <row r="301" spans="1:36" ht="33" customHeight="1" x14ac:dyDescent="0.25">
      <c r="A301" s="85"/>
      <c r="B301" s="67" t="s">
        <v>762</v>
      </c>
      <c r="C301" s="67" t="s">
        <v>763</v>
      </c>
      <c r="D301" s="67" t="s">
        <v>38</v>
      </c>
      <c r="E301" s="68" t="s">
        <v>764</v>
      </c>
      <c r="F301" s="67" t="s">
        <v>40</v>
      </c>
      <c r="G301" s="69">
        <v>1</v>
      </c>
      <c r="H301" s="70">
        <v>26.13</v>
      </c>
      <c r="I301" s="70">
        <f>6.08*1.22</f>
        <v>7.4176000000000002</v>
      </c>
      <c r="J301" s="70">
        <f>20.05*1.22</f>
        <v>24.461000000000002</v>
      </c>
      <c r="K301" s="70">
        <f t="shared" si="57"/>
        <v>31.878600000000002</v>
      </c>
      <c r="L301" s="70">
        <f t="shared" si="58"/>
        <v>7.4176000000000002</v>
      </c>
      <c r="M301" s="70">
        <f t="shared" si="59"/>
        <v>24.461000000000002</v>
      </c>
      <c r="N301" s="70">
        <f t="shared" si="60"/>
        <v>31.878600000000002</v>
      </c>
      <c r="O301" s="71">
        <f t="shared" si="52"/>
        <v>1.423350163522465E-5</v>
      </c>
      <c r="P301" s="12"/>
      <c r="Q301" s="49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</row>
    <row r="302" spans="1:36" ht="33" customHeight="1" x14ac:dyDescent="0.25">
      <c r="A302" s="85"/>
      <c r="B302" s="67" t="s">
        <v>765</v>
      </c>
      <c r="C302" s="67" t="s">
        <v>766</v>
      </c>
      <c r="D302" s="67" t="s">
        <v>38</v>
      </c>
      <c r="E302" s="68" t="s">
        <v>767</v>
      </c>
      <c r="F302" s="67" t="s">
        <v>40</v>
      </c>
      <c r="G302" s="69">
        <v>1</v>
      </c>
      <c r="H302" s="70">
        <v>31.94</v>
      </c>
      <c r="I302" s="70">
        <f>3.89*1.22</f>
        <v>4.7458</v>
      </c>
      <c r="J302" s="70">
        <f>28.05*1.22</f>
        <v>34.221000000000004</v>
      </c>
      <c r="K302" s="70">
        <f t="shared" si="57"/>
        <v>38.966800000000006</v>
      </c>
      <c r="L302" s="70">
        <f t="shared" si="58"/>
        <v>4.7458</v>
      </c>
      <c r="M302" s="70">
        <f t="shared" si="59"/>
        <v>34.221000000000004</v>
      </c>
      <c r="N302" s="70">
        <f t="shared" si="60"/>
        <v>38.966800000000006</v>
      </c>
      <c r="O302" s="71">
        <f t="shared" si="52"/>
        <v>1.7398317727863583E-5</v>
      </c>
      <c r="P302" s="12"/>
      <c r="Q302" s="49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</row>
    <row r="303" spans="1:36" ht="20.100000000000001" customHeight="1" x14ac:dyDescent="0.25">
      <c r="A303" s="85"/>
      <c r="B303" s="67" t="s">
        <v>768</v>
      </c>
      <c r="C303" s="67" t="s">
        <v>769</v>
      </c>
      <c r="D303" s="67" t="s">
        <v>24</v>
      </c>
      <c r="E303" s="68" t="s">
        <v>770</v>
      </c>
      <c r="F303" s="67" t="s">
        <v>380</v>
      </c>
      <c r="G303" s="69">
        <v>84.2</v>
      </c>
      <c r="H303" s="70">
        <v>47.26</v>
      </c>
      <c r="I303" s="70">
        <f>18.53*1.22</f>
        <v>22.6066</v>
      </c>
      <c r="J303" s="70">
        <f>28.73*1.22</f>
        <v>35.050600000000003</v>
      </c>
      <c r="K303" s="70">
        <f t="shared" si="57"/>
        <v>57.657200000000003</v>
      </c>
      <c r="L303" s="70">
        <f t="shared" si="58"/>
        <v>1903.4757200000001</v>
      </c>
      <c r="M303" s="70">
        <f t="shared" si="59"/>
        <v>2951.2605200000003</v>
      </c>
      <c r="N303" s="70">
        <f t="shared" si="60"/>
        <v>4854.7362400000002</v>
      </c>
      <c r="O303" s="71">
        <f t="shared" si="52"/>
        <v>2.1675950703802667E-3</v>
      </c>
      <c r="P303" s="12"/>
      <c r="Q303" s="49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</row>
    <row r="304" spans="1:36" ht="20.100000000000001" customHeight="1" x14ac:dyDescent="0.25">
      <c r="A304" s="85"/>
      <c r="B304" s="67" t="s">
        <v>771</v>
      </c>
      <c r="C304" s="67" t="s">
        <v>772</v>
      </c>
      <c r="D304" s="67" t="s">
        <v>24</v>
      </c>
      <c r="E304" s="68" t="s">
        <v>773</v>
      </c>
      <c r="F304" s="67" t="s">
        <v>380</v>
      </c>
      <c r="G304" s="69">
        <v>41.7</v>
      </c>
      <c r="H304" s="70">
        <v>65.38</v>
      </c>
      <c r="I304" s="70">
        <f>18.53*1.22</f>
        <v>22.6066</v>
      </c>
      <c r="J304" s="70">
        <f>46.85*1.22</f>
        <v>57.157000000000004</v>
      </c>
      <c r="K304" s="70">
        <f t="shared" si="57"/>
        <v>79.763599999999997</v>
      </c>
      <c r="L304" s="70">
        <f t="shared" si="58"/>
        <v>942.69522000000006</v>
      </c>
      <c r="M304" s="70">
        <f t="shared" si="59"/>
        <v>2383.4469000000004</v>
      </c>
      <c r="N304" s="70">
        <f t="shared" si="60"/>
        <v>3326.1421200000004</v>
      </c>
      <c r="O304" s="71">
        <f t="shared" si="52"/>
        <v>1.485091857986536E-3</v>
      </c>
      <c r="P304" s="12"/>
      <c r="Q304" s="49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</row>
    <row r="305" spans="1:36" ht="20.100000000000001" customHeight="1" x14ac:dyDescent="0.25">
      <c r="A305" s="85"/>
      <c r="B305" s="67" t="s">
        <v>774</v>
      </c>
      <c r="C305" s="67" t="s">
        <v>775</v>
      </c>
      <c r="D305" s="67" t="s">
        <v>24</v>
      </c>
      <c r="E305" s="68" t="s">
        <v>776</v>
      </c>
      <c r="F305" s="67" t="s">
        <v>380</v>
      </c>
      <c r="G305" s="69">
        <v>6</v>
      </c>
      <c r="H305" s="70">
        <v>106.83</v>
      </c>
      <c r="I305" s="70">
        <f>47.41*1.22</f>
        <v>57.840199999999996</v>
      </c>
      <c r="J305" s="70">
        <f>59.42*1.22</f>
        <v>72.492400000000004</v>
      </c>
      <c r="K305" s="70">
        <f t="shared" si="57"/>
        <v>130.33260000000001</v>
      </c>
      <c r="L305" s="70">
        <f t="shared" si="58"/>
        <v>347.0412</v>
      </c>
      <c r="M305" s="70">
        <f t="shared" si="59"/>
        <v>434.95440000000002</v>
      </c>
      <c r="N305" s="70">
        <f t="shared" si="60"/>
        <v>781.99559999999997</v>
      </c>
      <c r="O305" s="71">
        <f t="shared" si="52"/>
        <v>3.4915384149048205E-4</v>
      </c>
      <c r="P305" s="12"/>
      <c r="Q305" s="49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</row>
    <row r="306" spans="1:36" ht="33" customHeight="1" x14ac:dyDescent="0.25">
      <c r="A306" s="85"/>
      <c r="B306" s="67" t="s">
        <v>777</v>
      </c>
      <c r="C306" s="67" t="s">
        <v>778</v>
      </c>
      <c r="D306" s="67" t="s">
        <v>38</v>
      </c>
      <c r="E306" s="68" t="s">
        <v>779</v>
      </c>
      <c r="F306" s="67" t="s">
        <v>73</v>
      </c>
      <c r="G306" s="69">
        <v>10.3</v>
      </c>
      <c r="H306" s="70">
        <v>153.62</v>
      </c>
      <c r="I306" s="70">
        <f>4.15*1.22</f>
        <v>5.0630000000000006</v>
      </c>
      <c r="J306" s="70">
        <f>149.47*1.22</f>
        <v>182.35339999999999</v>
      </c>
      <c r="K306" s="70">
        <f t="shared" si="57"/>
        <v>187.41639999999998</v>
      </c>
      <c r="L306" s="70">
        <f t="shared" si="58"/>
        <v>52.148900000000012</v>
      </c>
      <c r="M306" s="70">
        <f t="shared" si="59"/>
        <v>1878.24002</v>
      </c>
      <c r="N306" s="70">
        <f t="shared" si="60"/>
        <v>1930.3889199999999</v>
      </c>
      <c r="O306" s="71">
        <f t="shared" si="52"/>
        <v>8.6190089431278482E-4</v>
      </c>
      <c r="P306" s="12"/>
      <c r="Q306" s="49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</row>
    <row r="307" spans="1:36" ht="33" customHeight="1" x14ac:dyDescent="0.25">
      <c r="A307" s="85"/>
      <c r="B307" s="67" t="s">
        <v>780</v>
      </c>
      <c r="C307" s="67" t="s">
        <v>723</v>
      </c>
      <c r="D307" s="67" t="s">
        <v>38</v>
      </c>
      <c r="E307" s="68" t="s">
        <v>724</v>
      </c>
      <c r="F307" s="67" t="s">
        <v>40</v>
      </c>
      <c r="G307" s="69">
        <v>18</v>
      </c>
      <c r="H307" s="70">
        <v>10.73</v>
      </c>
      <c r="I307" s="70">
        <f>7.17*1.22</f>
        <v>8.747399999999999</v>
      </c>
      <c r="J307" s="70">
        <f>3.76*1.22</f>
        <v>4.5871999999999993</v>
      </c>
      <c r="K307" s="70">
        <f t="shared" si="57"/>
        <v>13.334599999999998</v>
      </c>
      <c r="L307" s="70">
        <f t="shared" si="58"/>
        <v>157.45319999999998</v>
      </c>
      <c r="M307" s="70">
        <f t="shared" si="59"/>
        <v>82.56959999999998</v>
      </c>
      <c r="N307" s="70">
        <f t="shared" si="60"/>
        <v>240.02279999999996</v>
      </c>
      <c r="O307" s="71">
        <f t="shared" si="52"/>
        <v>1.0716797212836193E-4</v>
      </c>
      <c r="P307" s="12"/>
      <c r="Q307" s="49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</row>
    <row r="308" spans="1:36" ht="33" customHeight="1" x14ac:dyDescent="0.25">
      <c r="A308" s="85"/>
      <c r="B308" s="67" t="s">
        <v>781</v>
      </c>
      <c r="C308" s="67" t="s">
        <v>587</v>
      </c>
      <c r="D308" s="67" t="s">
        <v>38</v>
      </c>
      <c r="E308" s="68" t="s">
        <v>588</v>
      </c>
      <c r="F308" s="67" t="s">
        <v>73</v>
      </c>
      <c r="G308" s="69">
        <v>109.9</v>
      </c>
      <c r="H308" s="70">
        <v>38.26</v>
      </c>
      <c r="I308" s="70">
        <f>25.21*1.22</f>
        <v>30.7562</v>
      </c>
      <c r="J308" s="70">
        <f>13.05*1.22</f>
        <v>15.921000000000001</v>
      </c>
      <c r="K308" s="70">
        <f t="shared" si="57"/>
        <v>46.677199999999999</v>
      </c>
      <c r="L308" s="70">
        <f t="shared" si="58"/>
        <v>3380.1063800000002</v>
      </c>
      <c r="M308" s="70">
        <f t="shared" si="59"/>
        <v>1749.7179000000003</v>
      </c>
      <c r="N308" s="70">
        <f t="shared" si="60"/>
        <v>5129.8242800000007</v>
      </c>
      <c r="O308" s="71">
        <f t="shared" si="52"/>
        <v>2.2904193495885991E-3</v>
      </c>
      <c r="P308" s="12"/>
      <c r="Q308" s="49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</row>
    <row r="309" spans="1:36" ht="33" customHeight="1" x14ac:dyDescent="0.25">
      <c r="A309" s="85"/>
      <c r="B309" s="67" t="s">
        <v>782</v>
      </c>
      <c r="C309" s="67" t="s">
        <v>596</v>
      </c>
      <c r="D309" s="67" t="s">
        <v>38</v>
      </c>
      <c r="E309" s="68" t="s">
        <v>597</v>
      </c>
      <c r="F309" s="67" t="s">
        <v>40</v>
      </c>
      <c r="G309" s="69">
        <v>10</v>
      </c>
      <c r="H309" s="70">
        <v>12.61</v>
      </c>
      <c r="I309" s="70">
        <f>7.78*1.22</f>
        <v>9.4916</v>
      </c>
      <c r="J309" s="70">
        <f>4.83*1.22</f>
        <v>5.8925999999999998</v>
      </c>
      <c r="K309" s="70">
        <f t="shared" si="57"/>
        <v>15.3842</v>
      </c>
      <c r="L309" s="70">
        <f t="shared" si="58"/>
        <v>94.915999999999997</v>
      </c>
      <c r="M309" s="70">
        <f t="shared" si="59"/>
        <v>58.926000000000002</v>
      </c>
      <c r="N309" s="70">
        <f t="shared" si="60"/>
        <v>153.84199999999998</v>
      </c>
      <c r="O309" s="71">
        <f t="shared" si="52"/>
        <v>6.86890377421289E-5</v>
      </c>
      <c r="P309" s="12"/>
      <c r="Q309" s="49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</row>
    <row r="310" spans="1:36" ht="20.100000000000001" customHeight="1" x14ac:dyDescent="0.25">
      <c r="A310" s="85"/>
      <c r="B310" s="59" t="s">
        <v>783</v>
      </c>
      <c r="C310" s="59"/>
      <c r="D310" s="59"/>
      <c r="E310" s="60" t="s">
        <v>784</v>
      </c>
      <c r="F310" s="60"/>
      <c r="G310" s="61"/>
      <c r="H310" s="62"/>
      <c r="I310" s="60"/>
      <c r="J310" s="60"/>
      <c r="K310" s="60"/>
      <c r="L310" s="60"/>
      <c r="M310" s="60"/>
      <c r="N310" s="63">
        <f>SUM(N311:N321)</f>
        <v>7857.7516000000005</v>
      </c>
      <c r="O310" s="64">
        <f>N310/$N$472</f>
        <v>3.5084138026070504E-3</v>
      </c>
      <c r="P310" s="12"/>
      <c r="Q310" s="49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</row>
    <row r="311" spans="1:36" ht="20.100000000000001" customHeight="1" x14ac:dyDescent="0.25">
      <c r="A311" s="85"/>
      <c r="B311" s="67" t="s">
        <v>785</v>
      </c>
      <c r="C311" s="67" t="s">
        <v>786</v>
      </c>
      <c r="D311" s="67" t="s">
        <v>24</v>
      </c>
      <c r="E311" s="68" t="s">
        <v>787</v>
      </c>
      <c r="F311" s="67" t="s">
        <v>40</v>
      </c>
      <c r="G311" s="69">
        <v>5</v>
      </c>
      <c r="H311" s="70">
        <v>29.66</v>
      </c>
      <c r="I311" s="70">
        <f>6.9*1.22</f>
        <v>8.418000000000001</v>
      </c>
      <c r="J311" s="70">
        <f>22.76*1.22</f>
        <v>27.767200000000003</v>
      </c>
      <c r="K311" s="70">
        <f t="shared" ref="K311:K321" si="61">I311+J311</f>
        <v>36.185200000000002</v>
      </c>
      <c r="L311" s="70">
        <f t="shared" ref="L311:L321" si="62">G311*I311</f>
        <v>42.09</v>
      </c>
      <c r="M311" s="70">
        <f t="shared" ref="M311:M321" si="63">G311*J311</f>
        <v>138.83600000000001</v>
      </c>
      <c r="N311" s="70">
        <f t="shared" ref="N311:N321" si="64">L311+M311</f>
        <v>180.92600000000002</v>
      </c>
      <c r="O311" s="71">
        <f t="shared" si="52"/>
        <v>8.0781794584914492E-5</v>
      </c>
      <c r="P311" s="12"/>
      <c r="Q311" s="49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</row>
    <row r="312" spans="1:36" ht="33" customHeight="1" x14ac:dyDescent="0.25">
      <c r="A312" s="85"/>
      <c r="B312" s="67" t="s">
        <v>788</v>
      </c>
      <c r="C312" s="67" t="s">
        <v>789</v>
      </c>
      <c r="D312" s="67" t="s">
        <v>38</v>
      </c>
      <c r="E312" s="68" t="s">
        <v>790</v>
      </c>
      <c r="F312" s="67" t="s">
        <v>40</v>
      </c>
      <c r="G312" s="69">
        <v>8</v>
      </c>
      <c r="H312" s="70">
        <v>305.49</v>
      </c>
      <c r="I312" s="70">
        <f>24.04*1.22</f>
        <v>29.328799999999998</v>
      </c>
      <c r="J312" s="70">
        <f>281.45*1.22</f>
        <v>343.36899999999997</v>
      </c>
      <c r="K312" s="70">
        <f t="shared" si="61"/>
        <v>372.69779999999997</v>
      </c>
      <c r="L312" s="70">
        <f t="shared" si="62"/>
        <v>234.63039999999998</v>
      </c>
      <c r="M312" s="70">
        <f t="shared" si="63"/>
        <v>2746.9519999999998</v>
      </c>
      <c r="N312" s="70">
        <f t="shared" si="64"/>
        <v>2981.5823999999998</v>
      </c>
      <c r="O312" s="71">
        <f t="shared" ref="O312:O375" si="65">N312/$N$472</f>
        <v>1.3312491127576817E-3</v>
      </c>
      <c r="P312" s="12"/>
      <c r="Q312" s="49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</row>
    <row r="313" spans="1:36" ht="33" customHeight="1" x14ac:dyDescent="0.25">
      <c r="A313" s="85"/>
      <c r="B313" s="67" t="s">
        <v>791</v>
      </c>
      <c r="C313" s="67" t="s">
        <v>792</v>
      </c>
      <c r="D313" s="67" t="s">
        <v>24</v>
      </c>
      <c r="E313" s="68" t="s">
        <v>793</v>
      </c>
      <c r="F313" s="67" t="s">
        <v>40</v>
      </c>
      <c r="G313" s="69">
        <v>8</v>
      </c>
      <c r="H313" s="70">
        <v>17.93</v>
      </c>
      <c r="I313" s="70">
        <f>6.9*1.22</f>
        <v>8.418000000000001</v>
      </c>
      <c r="J313" s="70">
        <f>11.03*1.22</f>
        <v>13.456599999999998</v>
      </c>
      <c r="K313" s="70">
        <f t="shared" si="61"/>
        <v>21.874600000000001</v>
      </c>
      <c r="L313" s="70">
        <f t="shared" si="62"/>
        <v>67.344000000000008</v>
      </c>
      <c r="M313" s="70">
        <f t="shared" si="63"/>
        <v>107.65279999999998</v>
      </c>
      <c r="N313" s="70">
        <f t="shared" si="64"/>
        <v>174.99680000000001</v>
      </c>
      <c r="O313" s="71">
        <f t="shared" si="65"/>
        <v>7.8134461330142511E-5</v>
      </c>
      <c r="P313" s="12"/>
      <c r="Q313" s="49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</row>
    <row r="314" spans="1:36" ht="20.100000000000001" customHeight="1" x14ac:dyDescent="0.25">
      <c r="A314" s="85"/>
      <c r="B314" s="67" t="s">
        <v>794</v>
      </c>
      <c r="C314" s="67" t="s">
        <v>795</v>
      </c>
      <c r="D314" s="67" t="s">
        <v>24</v>
      </c>
      <c r="E314" s="68" t="s">
        <v>796</v>
      </c>
      <c r="F314" s="67" t="s">
        <v>40</v>
      </c>
      <c r="G314" s="69">
        <v>1</v>
      </c>
      <c r="H314" s="70">
        <v>219.75</v>
      </c>
      <c r="I314" s="70">
        <f>3.91*1.22</f>
        <v>4.7702</v>
      </c>
      <c r="J314" s="70">
        <f>215.84*1.22</f>
        <v>263.32479999999998</v>
      </c>
      <c r="K314" s="70">
        <f t="shared" si="61"/>
        <v>268.09499999999997</v>
      </c>
      <c r="L314" s="70">
        <f t="shared" si="62"/>
        <v>4.7702</v>
      </c>
      <c r="M314" s="70">
        <f t="shared" si="63"/>
        <v>263.32479999999998</v>
      </c>
      <c r="N314" s="70">
        <f t="shared" si="64"/>
        <v>268.09499999999997</v>
      </c>
      <c r="O314" s="71">
        <f t="shared" si="65"/>
        <v>1.1970195118027617E-4</v>
      </c>
      <c r="P314" s="12"/>
      <c r="Q314" s="49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</row>
    <row r="315" spans="1:36" ht="33" customHeight="1" x14ac:dyDescent="0.25">
      <c r="A315" s="85"/>
      <c r="B315" s="67" t="s">
        <v>797</v>
      </c>
      <c r="C315" s="67" t="s">
        <v>798</v>
      </c>
      <c r="D315" s="67" t="s">
        <v>24</v>
      </c>
      <c r="E315" s="68" t="s">
        <v>799</v>
      </c>
      <c r="F315" s="67" t="s">
        <v>40</v>
      </c>
      <c r="G315" s="69">
        <v>3</v>
      </c>
      <c r="H315" s="70">
        <v>24.04</v>
      </c>
      <c r="I315" s="70">
        <f>6.9*1.22</f>
        <v>8.418000000000001</v>
      </c>
      <c r="J315" s="70">
        <f>17.14*1.22</f>
        <v>20.910800000000002</v>
      </c>
      <c r="K315" s="70">
        <f t="shared" si="61"/>
        <v>29.328800000000001</v>
      </c>
      <c r="L315" s="70">
        <f t="shared" si="62"/>
        <v>25.254000000000005</v>
      </c>
      <c r="M315" s="70">
        <f t="shared" si="63"/>
        <v>62.732400000000005</v>
      </c>
      <c r="N315" s="70">
        <f t="shared" si="64"/>
        <v>87.986400000000003</v>
      </c>
      <c r="O315" s="71">
        <f t="shared" si="65"/>
        <v>3.9285118175752076E-5</v>
      </c>
      <c r="P315" s="12"/>
      <c r="Q315" s="49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</row>
    <row r="316" spans="1:36" ht="20.100000000000001" customHeight="1" x14ac:dyDescent="0.25">
      <c r="A316" s="85"/>
      <c r="B316" s="67" t="s">
        <v>800</v>
      </c>
      <c r="C316" s="67" t="s">
        <v>801</v>
      </c>
      <c r="D316" s="67" t="s">
        <v>24</v>
      </c>
      <c r="E316" s="68" t="s">
        <v>802</v>
      </c>
      <c r="F316" s="67" t="s">
        <v>40</v>
      </c>
      <c r="G316" s="69">
        <v>2</v>
      </c>
      <c r="H316" s="70">
        <v>15.53</v>
      </c>
      <c r="I316" s="70">
        <f>6.9*1.22</f>
        <v>8.418000000000001</v>
      </c>
      <c r="J316" s="70">
        <f>8.63*1.22</f>
        <v>10.528600000000001</v>
      </c>
      <c r="K316" s="70">
        <f t="shared" si="61"/>
        <v>18.946600000000004</v>
      </c>
      <c r="L316" s="70">
        <f t="shared" si="62"/>
        <v>16.836000000000002</v>
      </c>
      <c r="M316" s="70">
        <f t="shared" si="63"/>
        <v>21.057200000000002</v>
      </c>
      <c r="N316" s="70">
        <f t="shared" si="64"/>
        <v>37.893200000000007</v>
      </c>
      <c r="O316" s="71">
        <f t="shared" si="65"/>
        <v>1.6918965204365776E-5</v>
      </c>
      <c r="P316" s="12"/>
      <c r="Q316" s="49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</row>
    <row r="317" spans="1:36" ht="33" customHeight="1" x14ac:dyDescent="0.25">
      <c r="A317" s="85"/>
      <c r="B317" s="67" t="s">
        <v>803</v>
      </c>
      <c r="C317" s="67" t="s">
        <v>798</v>
      </c>
      <c r="D317" s="67" t="s">
        <v>24</v>
      </c>
      <c r="E317" s="68" t="s">
        <v>799</v>
      </c>
      <c r="F317" s="67" t="s">
        <v>40</v>
      </c>
      <c r="G317" s="69">
        <v>37</v>
      </c>
      <c r="H317" s="70">
        <v>24.04</v>
      </c>
      <c r="I317" s="70">
        <f>6.9*1.22</f>
        <v>8.418000000000001</v>
      </c>
      <c r="J317" s="70">
        <f>17.14*1.22</f>
        <v>20.910800000000002</v>
      </c>
      <c r="K317" s="70">
        <f t="shared" si="61"/>
        <v>29.328800000000001</v>
      </c>
      <c r="L317" s="70">
        <f t="shared" si="62"/>
        <v>311.46600000000007</v>
      </c>
      <c r="M317" s="70">
        <f t="shared" si="63"/>
        <v>773.69960000000003</v>
      </c>
      <c r="N317" s="70">
        <f t="shared" si="64"/>
        <v>1085.1656</v>
      </c>
      <c r="O317" s="71">
        <f t="shared" si="65"/>
        <v>4.8451645750094229E-4</v>
      </c>
      <c r="P317" s="12"/>
      <c r="Q317" s="49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</row>
    <row r="318" spans="1:36" ht="33" customHeight="1" x14ac:dyDescent="0.25">
      <c r="A318" s="85"/>
      <c r="B318" s="67" t="s">
        <v>804</v>
      </c>
      <c r="C318" s="67" t="s">
        <v>805</v>
      </c>
      <c r="D318" s="67" t="s">
        <v>24</v>
      </c>
      <c r="E318" s="68" t="s">
        <v>806</v>
      </c>
      <c r="F318" s="67" t="s">
        <v>40</v>
      </c>
      <c r="G318" s="69">
        <v>1</v>
      </c>
      <c r="H318" s="70">
        <v>239.11</v>
      </c>
      <c r="I318" s="70">
        <f>16.79*1.22</f>
        <v>20.483799999999999</v>
      </c>
      <c r="J318" s="70">
        <f>222.32*1.22</f>
        <v>271.23039999999997</v>
      </c>
      <c r="K318" s="70">
        <f t="shared" si="61"/>
        <v>291.71419999999995</v>
      </c>
      <c r="L318" s="70">
        <f t="shared" si="62"/>
        <v>20.483799999999999</v>
      </c>
      <c r="M318" s="70">
        <f t="shared" si="63"/>
        <v>271.23039999999997</v>
      </c>
      <c r="N318" s="70">
        <f t="shared" si="64"/>
        <v>291.71419999999995</v>
      </c>
      <c r="O318" s="71">
        <f t="shared" si="65"/>
        <v>1.3024770669722792E-4</v>
      </c>
      <c r="P318" s="12"/>
      <c r="Q318" s="49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</row>
    <row r="319" spans="1:36" ht="20.100000000000001" customHeight="1" x14ac:dyDescent="0.25">
      <c r="A319" s="85"/>
      <c r="B319" s="67" t="s">
        <v>807</v>
      </c>
      <c r="C319" s="67" t="s">
        <v>808</v>
      </c>
      <c r="D319" s="67" t="s">
        <v>24</v>
      </c>
      <c r="E319" s="68" t="s">
        <v>809</v>
      </c>
      <c r="F319" s="67" t="s">
        <v>40</v>
      </c>
      <c r="G319" s="69">
        <v>4</v>
      </c>
      <c r="H319" s="70">
        <v>545.37</v>
      </c>
      <c r="I319" s="70">
        <f>184.35*1.22</f>
        <v>224.90699999999998</v>
      </c>
      <c r="J319" s="70">
        <f>361.02*1.22</f>
        <v>440.44439999999997</v>
      </c>
      <c r="K319" s="70">
        <f t="shared" si="61"/>
        <v>665.35140000000001</v>
      </c>
      <c r="L319" s="70">
        <f t="shared" si="62"/>
        <v>899.62799999999993</v>
      </c>
      <c r="M319" s="70">
        <f t="shared" si="63"/>
        <v>1761.7775999999999</v>
      </c>
      <c r="N319" s="70">
        <f t="shared" si="64"/>
        <v>2661.4056</v>
      </c>
      <c r="O319" s="71">
        <f t="shared" si="65"/>
        <v>1.188293116999995E-3</v>
      </c>
      <c r="P319" s="12"/>
      <c r="Q319" s="49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</row>
    <row r="320" spans="1:36" ht="33" customHeight="1" x14ac:dyDescent="0.25">
      <c r="A320" s="85"/>
      <c r="B320" s="67" t="s">
        <v>810</v>
      </c>
      <c r="C320" s="67" t="s">
        <v>798</v>
      </c>
      <c r="D320" s="67" t="s">
        <v>24</v>
      </c>
      <c r="E320" s="68" t="s">
        <v>799</v>
      </c>
      <c r="F320" s="67" t="s">
        <v>40</v>
      </c>
      <c r="G320" s="69">
        <v>2</v>
      </c>
      <c r="H320" s="70">
        <v>24.04</v>
      </c>
      <c r="I320" s="70">
        <f>6.9*1.22</f>
        <v>8.418000000000001</v>
      </c>
      <c r="J320" s="70">
        <f>17.14*1.22</f>
        <v>20.910800000000002</v>
      </c>
      <c r="K320" s="70">
        <f t="shared" si="61"/>
        <v>29.328800000000001</v>
      </c>
      <c r="L320" s="70">
        <f t="shared" si="62"/>
        <v>16.836000000000002</v>
      </c>
      <c r="M320" s="70">
        <f t="shared" si="63"/>
        <v>41.821600000000004</v>
      </c>
      <c r="N320" s="70">
        <f t="shared" si="64"/>
        <v>58.657600000000002</v>
      </c>
      <c r="O320" s="71">
        <f t="shared" si="65"/>
        <v>2.619007878383472E-5</v>
      </c>
      <c r="P320" s="12"/>
      <c r="Q320" s="49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</row>
    <row r="321" spans="1:36" ht="33" customHeight="1" x14ac:dyDescent="0.25">
      <c r="A321" s="85"/>
      <c r="B321" s="67" t="s">
        <v>811</v>
      </c>
      <c r="C321" s="67" t="s">
        <v>798</v>
      </c>
      <c r="D321" s="67" t="s">
        <v>24</v>
      </c>
      <c r="E321" s="68" t="s">
        <v>799</v>
      </c>
      <c r="F321" s="67" t="s">
        <v>40</v>
      </c>
      <c r="G321" s="69">
        <v>1</v>
      </c>
      <c r="H321" s="70">
        <v>24.04</v>
      </c>
      <c r="I321" s="70">
        <f>6.9*1.22</f>
        <v>8.418000000000001</v>
      </c>
      <c r="J321" s="70">
        <f>17.14*1.22</f>
        <v>20.910800000000002</v>
      </c>
      <c r="K321" s="70">
        <f t="shared" si="61"/>
        <v>29.328800000000001</v>
      </c>
      <c r="L321" s="70">
        <f t="shared" si="62"/>
        <v>8.418000000000001</v>
      </c>
      <c r="M321" s="70">
        <f t="shared" si="63"/>
        <v>20.910800000000002</v>
      </c>
      <c r="N321" s="70">
        <f t="shared" si="64"/>
        <v>29.328800000000001</v>
      </c>
      <c r="O321" s="71">
        <f t="shared" si="65"/>
        <v>1.309503939191736E-5</v>
      </c>
      <c r="P321" s="12"/>
      <c r="Q321" s="49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</row>
    <row r="322" spans="1:36" ht="20.100000000000001" customHeight="1" x14ac:dyDescent="0.25">
      <c r="A322" s="85"/>
      <c r="B322" s="59">
        <v>16</v>
      </c>
      <c r="C322" s="59"/>
      <c r="D322" s="59"/>
      <c r="E322" s="60" t="s">
        <v>812</v>
      </c>
      <c r="F322" s="60"/>
      <c r="G322" s="61"/>
      <c r="H322" s="62"/>
      <c r="I322" s="60"/>
      <c r="J322" s="60"/>
      <c r="K322" s="60"/>
      <c r="L322" s="60"/>
      <c r="M322" s="60"/>
      <c r="N322" s="63">
        <f>N323+N385+N391</f>
        <v>280455.34826</v>
      </c>
      <c r="O322" s="64">
        <f>N322/$N$472</f>
        <v>0.125220732970275</v>
      </c>
      <c r="P322" s="12"/>
      <c r="Q322" s="49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</row>
    <row r="323" spans="1:36" ht="20.100000000000001" customHeight="1" x14ac:dyDescent="0.25">
      <c r="A323" s="85"/>
      <c r="B323" s="59" t="s">
        <v>813</v>
      </c>
      <c r="C323" s="59"/>
      <c r="D323" s="59"/>
      <c r="E323" s="60" t="s">
        <v>814</v>
      </c>
      <c r="F323" s="60"/>
      <c r="G323" s="61"/>
      <c r="H323" s="62"/>
      <c r="I323" s="60"/>
      <c r="J323" s="60"/>
      <c r="K323" s="60"/>
      <c r="L323" s="60"/>
      <c r="M323" s="60"/>
      <c r="N323" s="63">
        <f>SUM(N324:N384)</f>
        <v>216201.12026000003</v>
      </c>
      <c r="O323" s="64">
        <f>N323/$N$472</f>
        <v>9.653181127019729E-2</v>
      </c>
      <c r="P323" s="12"/>
      <c r="Q323" s="49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</row>
    <row r="324" spans="1:36" ht="33" customHeight="1" x14ac:dyDescent="0.25">
      <c r="A324" s="85"/>
      <c r="B324" s="67" t="s">
        <v>815</v>
      </c>
      <c r="C324" s="67">
        <v>91876</v>
      </c>
      <c r="D324" s="67" t="s">
        <v>38</v>
      </c>
      <c r="E324" s="68" t="s">
        <v>816</v>
      </c>
      <c r="F324" s="67" t="s">
        <v>40</v>
      </c>
      <c r="G324" s="69">
        <v>1</v>
      </c>
      <c r="H324" s="70">
        <v>13.53</v>
      </c>
      <c r="I324" s="70">
        <f>12.07*1.22</f>
        <v>14.7254</v>
      </c>
      <c r="J324" s="70">
        <f>1.46*1.22</f>
        <v>1.7811999999999999</v>
      </c>
      <c r="K324" s="70">
        <f t="shared" ref="K324:K378" si="66">I324+J324</f>
        <v>16.506599999999999</v>
      </c>
      <c r="L324" s="70">
        <f t="shared" ref="L324:L384" si="67">G324*I324</f>
        <v>14.7254</v>
      </c>
      <c r="M324" s="70">
        <f t="shared" ref="M324:M384" si="68">G324*J324</f>
        <v>1.7811999999999999</v>
      </c>
      <c r="N324" s="70">
        <f t="shared" ref="N324:N384" si="69">L324+M324</f>
        <v>16.506599999999999</v>
      </c>
      <c r="O324" s="71">
        <f t="shared" si="65"/>
        <v>7.3700450487787787E-6</v>
      </c>
      <c r="P324" s="12"/>
      <c r="Q324" s="49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</row>
    <row r="325" spans="1:36" ht="33" customHeight="1" x14ac:dyDescent="0.25">
      <c r="A325" s="85"/>
      <c r="B325" s="67" t="s">
        <v>817</v>
      </c>
      <c r="C325" s="67" t="s">
        <v>818</v>
      </c>
      <c r="D325" s="67" t="s">
        <v>38</v>
      </c>
      <c r="E325" s="68" t="s">
        <v>819</v>
      </c>
      <c r="F325" s="67" t="s">
        <v>40</v>
      </c>
      <c r="G325" s="69">
        <v>292</v>
      </c>
      <c r="H325" s="70">
        <v>24.6</v>
      </c>
      <c r="I325" s="70">
        <f>17.27*1.22</f>
        <v>21.069399999999998</v>
      </c>
      <c r="J325" s="70">
        <f>7.33*1.22</f>
        <v>8.9426000000000005</v>
      </c>
      <c r="K325" s="70">
        <f t="shared" si="66"/>
        <v>30.012</v>
      </c>
      <c r="L325" s="70">
        <f t="shared" si="67"/>
        <v>6152.264799999999</v>
      </c>
      <c r="M325" s="70">
        <f t="shared" si="68"/>
        <v>2611.2392</v>
      </c>
      <c r="N325" s="70">
        <f t="shared" si="69"/>
        <v>8763.503999999999</v>
      </c>
      <c r="O325" s="71">
        <f t="shared" si="65"/>
        <v>3.9128239168061876E-3</v>
      </c>
      <c r="P325" s="12"/>
      <c r="Q325" s="49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</row>
    <row r="326" spans="1:36" ht="20.100000000000001" customHeight="1" x14ac:dyDescent="0.25">
      <c r="A326" s="85"/>
      <c r="B326" s="67" t="s">
        <v>820</v>
      </c>
      <c r="C326" s="67" t="s">
        <v>821</v>
      </c>
      <c r="D326" s="67" t="s">
        <v>38</v>
      </c>
      <c r="E326" s="68" t="s">
        <v>822</v>
      </c>
      <c r="F326" s="67" t="s">
        <v>40</v>
      </c>
      <c r="G326" s="69">
        <v>86</v>
      </c>
      <c r="H326" s="70">
        <v>20.47</v>
      </c>
      <c r="I326" s="70">
        <f>13.05*1.22</f>
        <v>15.921000000000001</v>
      </c>
      <c r="J326" s="70">
        <f>7.42*1.22</f>
        <v>9.0524000000000004</v>
      </c>
      <c r="K326" s="70">
        <f t="shared" si="66"/>
        <v>24.973400000000002</v>
      </c>
      <c r="L326" s="70">
        <f t="shared" si="67"/>
        <v>1369.2060000000001</v>
      </c>
      <c r="M326" s="70">
        <f t="shared" si="68"/>
        <v>778.50639999999999</v>
      </c>
      <c r="N326" s="70">
        <f t="shared" si="69"/>
        <v>2147.7124000000003</v>
      </c>
      <c r="O326" s="71">
        <f t="shared" si="65"/>
        <v>9.5893382888182865E-4</v>
      </c>
      <c r="P326" s="12"/>
      <c r="Q326" s="49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</row>
    <row r="327" spans="1:36" ht="33" customHeight="1" x14ac:dyDescent="0.25">
      <c r="A327" s="85"/>
      <c r="B327" s="67" t="s">
        <v>823</v>
      </c>
      <c r="C327" s="67" t="s">
        <v>824</v>
      </c>
      <c r="D327" s="67" t="s">
        <v>38</v>
      </c>
      <c r="E327" s="68" t="s">
        <v>825</v>
      </c>
      <c r="F327" s="67" t="s">
        <v>40</v>
      </c>
      <c r="G327" s="69">
        <v>5</v>
      </c>
      <c r="H327" s="70">
        <v>23.9</v>
      </c>
      <c r="I327" s="70">
        <f>17.27*1.22</f>
        <v>21.069399999999998</v>
      </c>
      <c r="J327" s="70">
        <f>6.63*1.22</f>
        <v>8.0885999999999996</v>
      </c>
      <c r="K327" s="70">
        <f t="shared" si="66"/>
        <v>29.157999999999998</v>
      </c>
      <c r="L327" s="70">
        <f t="shared" si="67"/>
        <v>105.34699999999999</v>
      </c>
      <c r="M327" s="70">
        <f t="shared" si="68"/>
        <v>40.442999999999998</v>
      </c>
      <c r="N327" s="70">
        <f t="shared" si="69"/>
        <v>145.79</v>
      </c>
      <c r="O327" s="71">
        <f t="shared" si="65"/>
        <v>6.5093893815895357E-5</v>
      </c>
      <c r="P327" s="12"/>
      <c r="Q327" s="49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</row>
    <row r="328" spans="1:36" ht="33" customHeight="1" x14ac:dyDescent="0.25">
      <c r="A328" s="85"/>
      <c r="B328" s="67" t="s">
        <v>826</v>
      </c>
      <c r="C328" s="67" t="s">
        <v>827</v>
      </c>
      <c r="D328" s="67" t="s">
        <v>38</v>
      </c>
      <c r="E328" s="68" t="s">
        <v>828</v>
      </c>
      <c r="F328" s="67" t="s">
        <v>40</v>
      </c>
      <c r="G328" s="69">
        <v>1</v>
      </c>
      <c r="H328" s="70">
        <v>31.66</v>
      </c>
      <c r="I328" s="70">
        <f>21.42*1.22</f>
        <v>26.132400000000001</v>
      </c>
      <c r="J328" s="70">
        <f>10.24*1.22</f>
        <v>12.492800000000001</v>
      </c>
      <c r="K328" s="70">
        <f t="shared" si="66"/>
        <v>38.6252</v>
      </c>
      <c r="L328" s="70">
        <f t="shared" si="67"/>
        <v>26.132400000000001</v>
      </c>
      <c r="M328" s="70">
        <f t="shared" si="68"/>
        <v>12.492800000000001</v>
      </c>
      <c r="N328" s="70">
        <f t="shared" si="69"/>
        <v>38.6252</v>
      </c>
      <c r="O328" s="71">
        <f t="shared" si="65"/>
        <v>1.7245796470387004E-5</v>
      </c>
      <c r="P328" s="12"/>
      <c r="Q328" s="49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</row>
    <row r="329" spans="1:36" ht="33" customHeight="1" x14ac:dyDescent="0.25">
      <c r="A329" s="85"/>
      <c r="B329" s="67" t="s">
        <v>829</v>
      </c>
      <c r="C329" s="67" t="s">
        <v>830</v>
      </c>
      <c r="D329" s="67" t="s">
        <v>38</v>
      </c>
      <c r="E329" s="68" t="s">
        <v>831</v>
      </c>
      <c r="F329" s="67" t="s">
        <v>73</v>
      </c>
      <c r="G329" s="69">
        <v>258</v>
      </c>
      <c r="H329" s="70">
        <v>26.98</v>
      </c>
      <c r="I329" s="70">
        <f>6.68*1.22</f>
        <v>8.1495999999999995</v>
      </c>
      <c r="J329" s="70">
        <f>20.3*1.22</f>
        <v>24.766000000000002</v>
      </c>
      <c r="K329" s="70">
        <f t="shared" si="66"/>
        <v>32.915599999999998</v>
      </c>
      <c r="L329" s="70">
        <f t="shared" si="67"/>
        <v>2102.5967999999998</v>
      </c>
      <c r="M329" s="70">
        <f t="shared" si="68"/>
        <v>6389.6280000000006</v>
      </c>
      <c r="N329" s="70">
        <f t="shared" si="69"/>
        <v>8492.2248</v>
      </c>
      <c r="O329" s="71">
        <f t="shared" si="65"/>
        <v>3.7917002496187201E-3</v>
      </c>
      <c r="P329" s="12"/>
      <c r="Q329" s="49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</row>
    <row r="330" spans="1:36" ht="33" customHeight="1" x14ac:dyDescent="0.25">
      <c r="A330" s="85"/>
      <c r="B330" s="67" t="s">
        <v>832</v>
      </c>
      <c r="C330" s="67" t="s">
        <v>833</v>
      </c>
      <c r="D330" s="67" t="s">
        <v>38</v>
      </c>
      <c r="E330" s="68" t="s">
        <v>834</v>
      </c>
      <c r="F330" s="67" t="s">
        <v>73</v>
      </c>
      <c r="G330" s="69">
        <v>152.69999999999999</v>
      </c>
      <c r="H330" s="70">
        <v>27.82</v>
      </c>
      <c r="I330" s="70">
        <f>3.53*1.22</f>
        <v>4.3065999999999995</v>
      </c>
      <c r="J330" s="70">
        <f>24.29*1.22</f>
        <v>29.633799999999997</v>
      </c>
      <c r="K330" s="70">
        <f t="shared" si="66"/>
        <v>33.940399999999997</v>
      </c>
      <c r="L330" s="70">
        <f t="shared" si="67"/>
        <v>657.61781999999982</v>
      </c>
      <c r="M330" s="70">
        <f t="shared" si="68"/>
        <v>4525.081259999999</v>
      </c>
      <c r="N330" s="70">
        <f t="shared" si="69"/>
        <v>5182.6990799999985</v>
      </c>
      <c r="O330" s="71">
        <f t="shared" si="65"/>
        <v>2.3140274613708653E-3</v>
      </c>
      <c r="P330" s="12"/>
      <c r="Q330" s="49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</row>
    <row r="331" spans="1:36" ht="33" customHeight="1" x14ac:dyDescent="0.25">
      <c r="A331" s="85"/>
      <c r="B331" s="67" t="s">
        <v>835</v>
      </c>
      <c r="C331" s="67" t="s">
        <v>836</v>
      </c>
      <c r="D331" s="67" t="s">
        <v>38</v>
      </c>
      <c r="E331" s="68" t="s">
        <v>837</v>
      </c>
      <c r="F331" s="67" t="s">
        <v>73</v>
      </c>
      <c r="G331" s="69">
        <v>206.4</v>
      </c>
      <c r="H331" s="70">
        <v>38.06</v>
      </c>
      <c r="I331" s="70">
        <f>4.06*1.22</f>
        <v>4.9531999999999998</v>
      </c>
      <c r="J331" s="70">
        <f>34*1.22</f>
        <v>41.48</v>
      </c>
      <c r="K331" s="70">
        <f t="shared" si="66"/>
        <v>46.433199999999999</v>
      </c>
      <c r="L331" s="70">
        <f t="shared" si="67"/>
        <v>1022.34048</v>
      </c>
      <c r="M331" s="70">
        <f t="shared" si="68"/>
        <v>8561.4719999999998</v>
      </c>
      <c r="N331" s="70">
        <f t="shared" si="69"/>
        <v>9583.8124800000005</v>
      </c>
      <c r="O331" s="71">
        <f t="shared" si="65"/>
        <v>4.279084106760222E-3</v>
      </c>
      <c r="P331" s="12"/>
      <c r="Q331" s="49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</row>
    <row r="332" spans="1:36" ht="33" customHeight="1" x14ac:dyDescent="0.25">
      <c r="A332" s="85"/>
      <c r="B332" s="67" t="s">
        <v>838</v>
      </c>
      <c r="C332" s="67" t="s">
        <v>839</v>
      </c>
      <c r="D332" s="67" t="s">
        <v>38</v>
      </c>
      <c r="E332" s="68" t="s">
        <v>840</v>
      </c>
      <c r="F332" s="67" t="s">
        <v>73</v>
      </c>
      <c r="G332" s="69">
        <v>10.4</v>
      </c>
      <c r="H332" s="70">
        <v>54.74</v>
      </c>
      <c r="I332" s="70">
        <f>4.85*1.22</f>
        <v>5.9169999999999998</v>
      </c>
      <c r="J332" s="70">
        <f>49.89*1.22</f>
        <v>60.8658</v>
      </c>
      <c r="K332" s="70">
        <f t="shared" si="66"/>
        <v>66.782799999999995</v>
      </c>
      <c r="L332" s="70">
        <f t="shared" si="67"/>
        <v>61.536799999999999</v>
      </c>
      <c r="M332" s="70">
        <f t="shared" si="68"/>
        <v>633.00432000000001</v>
      </c>
      <c r="N332" s="70">
        <f t="shared" si="69"/>
        <v>694.54111999999998</v>
      </c>
      <c r="O332" s="71">
        <f t="shared" si="65"/>
        <v>3.1010622070137204E-4</v>
      </c>
      <c r="P332" s="12"/>
      <c r="Q332" s="49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</row>
    <row r="333" spans="1:36" ht="33" customHeight="1" x14ac:dyDescent="0.25">
      <c r="A333" s="85"/>
      <c r="B333" s="67" t="s">
        <v>841</v>
      </c>
      <c r="C333" s="67" t="s">
        <v>842</v>
      </c>
      <c r="D333" s="67" t="s">
        <v>38</v>
      </c>
      <c r="E333" s="68" t="s">
        <v>843</v>
      </c>
      <c r="F333" s="67" t="s">
        <v>73</v>
      </c>
      <c r="G333" s="69">
        <v>83.6</v>
      </c>
      <c r="H333" s="70">
        <v>10.93</v>
      </c>
      <c r="I333" s="70">
        <f>2.98*1.22</f>
        <v>3.6355999999999997</v>
      </c>
      <c r="J333" s="70">
        <f>7.95*1.22</f>
        <v>9.6989999999999998</v>
      </c>
      <c r="K333" s="70">
        <f t="shared" si="66"/>
        <v>13.3346</v>
      </c>
      <c r="L333" s="70">
        <f t="shared" si="67"/>
        <v>303.93615999999997</v>
      </c>
      <c r="M333" s="70">
        <f t="shared" si="68"/>
        <v>810.83639999999991</v>
      </c>
      <c r="N333" s="70">
        <f t="shared" si="69"/>
        <v>1114.7725599999999</v>
      </c>
      <c r="O333" s="71">
        <f t="shared" si="65"/>
        <v>4.977356927739476E-4</v>
      </c>
      <c r="P333" s="12"/>
      <c r="Q333" s="49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</row>
    <row r="334" spans="1:36" ht="33" customHeight="1" x14ac:dyDescent="0.25">
      <c r="A334" s="85"/>
      <c r="B334" s="67" t="s">
        <v>844</v>
      </c>
      <c r="C334" s="67" t="s">
        <v>845</v>
      </c>
      <c r="D334" s="67" t="s">
        <v>38</v>
      </c>
      <c r="E334" s="68" t="s">
        <v>846</v>
      </c>
      <c r="F334" s="67" t="s">
        <v>73</v>
      </c>
      <c r="G334" s="69">
        <v>1935.3</v>
      </c>
      <c r="H334" s="70">
        <v>3.47</v>
      </c>
      <c r="I334" s="70">
        <f>1.35*1.22</f>
        <v>1.647</v>
      </c>
      <c r="J334" s="70">
        <f>2.72*1.22</f>
        <v>3.3184</v>
      </c>
      <c r="K334" s="70">
        <f t="shared" si="66"/>
        <v>4.9653999999999998</v>
      </c>
      <c r="L334" s="70">
        <f t="shared" si="67"/>
        <v>3187.4391000000001</v>
      </c>
      <c r="M334" s="70">
        <f t="shared" si="68"/>
        <v>6422.0995199999998</v>
      </c>
      <c r="N334" s="70">
        <f t="shared" si="69"/>
        <v>9609.5386199999994</v>
      </c>
      <c r="O334" s="71">
        <f t="shared" si="65"/>
        <v>4.2905705916045376E-3</v>
      </c>
      <c r="P334" s="12"/>
      <c r="Q334" s="49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</row>
    <row r="335" spans="1:36" ht="33" customHeight="1" x14ac:dyDescent="0.25">
      <c r="A335" s="85"/>
      <c r="B335" s="67" t="s">
        <v>847</v>
      </c>
      <c r="C335" s="67" t="s">
        <v>848</v>
      </c>
      <c r="D335" s="67" t="s">
        <v>38</v>
      </c>
      <c r="E335" s="68" t="s">
        <v>849</v>
      </c>
      <c r="F335" s="67" t="s">
        <v>73</v>
      </c>
      <c r="G335" s="69">
        <v>3658.8</v>
      </c>
      <c r="H335" s="70">
        <v>4.9000000000000004</v>
      </c>
      <c r="I335" s="70">
        <f>1.7*1.22</f>
        <v>2.0739999999999998</v>
      </c>
      <c r="J335" s="70">
        <f>3.2*1.22</f>
        <v>3.9039999999999999</v>
      </c>
      <c r="K335" s="70">
        <f t="shared" si="66"/>
        <v>5.9779999999999998</v>
      </c>
      <c r="L335" s="70">
        <f t="shared" si="67"/>
        <v>7588.3512000000001</v>
      </c>
      <c r="M335" s="70">
        <f t="shared" si="68"/>
        <v>14283.9552</v>
      </c>
      <c r="N335" s="70">
        <f t="shared" si="69"/>
        <v>21872.306400000001</v>
      </c>
      <c r="O335" s="71">
        <f t="shared" si="65"/>
        <v>9.7657835949676135E-3</v>
      </c>
      <c r="P335" s="12"/>
      <c r="Q335" s="49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</row>
    <row r="336" spans="1:36" ht="33" customHeight="1" x14ac:dyDescent="0.25">
      <c r="A336" s="85"/>
      <c r="B336" s="67" t="s">
        <v>850</v>
      </c>
      <c r="C336" s="67" t="s">
        <v>851</v>
      </c>
      <c r="D336" s="67" t="s">
        <v>38</v>
      </c>
      <c r="E336" s="68" t="s">
        <v>852</v>
      </c>
      <c r="F336" s="67" t="s">
        <v>73</v>
      </c>
      <c r="G336" s="69">
        <v>677</v>
      </c>
      <c r="H336" s="70">
        <v>7.39</v>
      </c>
      <c r="I336" s="70">
        <f>2.28*1.22</f>
        <v>2.7815999999999996</v>
      </c>
      <c r="J336" s="70">
        <f>5.11*1.22</f>
        <v>6.2342000000000004</v>
      </c>
      <c r="K336" s="70">
        <f t="shared" si="66"/>
        <v>9.0158000000000005</v>
      </c>
      <c r="L336" s="70">
        <f t="shared" si="67"/>
        <v>1883.1431999999998</v>
      </c>
      <c r="M336" s="70">
        <f t="shared" si="68"/>
        <v>4220.5534000000007</v>
      </c>
      <c r="N336" s="70">
        <f t="shared" si="69"/>
        <v>6103.6966000000002</v>
      </c>
      <c r="O336" s="71">
        <f t="shared" si="65"/>
        <v>2.7252443814036733E-3</v>
      </c>
      <c r="P336" s="12"/>
      <c r="Q336" s="49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</row>
    <row r="337" spans="1:36" ht="33" customHeight="1" x14ac:dyDescent="0.25">
      <c r="A337" s="85"/>
      <c r="B337" s="67" t="s">
        <v>853</v>
      </c>
      <c r="C337" s="67" t="s">
        <v>854</v>
      </c>
      <c r="D337" s="67" t="s">
        <v>38</v>
      </c>
      <c r="E337" s="68" t="s">
        <v>855</v>
      </c>
      <c r="F337" s="67" t="s">
        <v>73</v>
      </c>
      <c r="G337" s="69">
        <v>69.900000000000006</v>
      </c>
      <c r="H337" s="70">
        <v>10.220000000000001</v>
      </c>
      <c r="I337" s="70">
        <f>2.99*1.22</f>
        <v>3.6478000000000002</v>
      </c>
      <c r="J337" s="70">
        <f>7.23*1.22</f>
        <v>8.8206000000000007</v>
      </c>
      <c r="K337" s="70">
        <f t="shared" si="66"/>
        <v>12.468400000000001</v>
      </c>
      <c r="L337" s="70">
        <f t="shared" si="67"/>
        <v>254.98122000000004</v>
      </c>
      <c r="M337" s="70">
        <f t="shared" si="68"/>
        <v>616.5599400000001</v>
      </c>
      <c r="N337" s="70">
        <f t="shared" si="69"/>
        <v>871.5411600000001</v>
      </c>
      <c r="O337" s="71">
        <f t="shared" si="65"/>
        <v>3.8913511026285937E-4</v>
      </c>
      <c r="P337" s="12"/>
      <c r="Q337" s="49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</row>
    <row r="338" spans="1:36" ht="33" customHeight="1" x14ac:dyDescent="0.25">
      <c r="A338" s="85"/>
      <c r="B338" s="67" t="s">
        <v>856</v>
      </c>
      <c r="C338" s="67" t="s">
        <v>857</v>
      </c>
      <c r="D338" s="67" t="s">
        <v>38</v>
      </c>
      <c r="E338" s="68" t="s">
        <v>858</v>
      </c>
      <c r="F338" s="67" t="s">
        <v>40</v>
      </c>
      <c r="G338" s="69">
        <v>2</v>
      </c>
      <c r="H338" s="70">
        <v>185.57</v>
      </c>
      <c r="I338" s="70">
        <f>94.2*1.22</f>
        <v>114.92400000000001</v>
      </c>
      <c r="J338" s="70">
        <f>91.37*1.22</f>
        <v>111.4714</v>
      </c>
      <c r="K338" s="70">
        <f t="shared" si="66"/>
        <v>226.3954</v>
      </c>
      <c r="L338" s="70">
        <f t="shared" si="67"/>
        <v>229.84800000000001</v>
      </c>
      <c r="M338" s="70">
        <f t="shared" si="68"/>
        <v>222.94280000000001</v>
      </c>
      <c r="N338" s="70">
        <f t="shared" si="69"/>
        <v>452.79079999999999</v>
      </c>
      <c r="O338" s="71">
        <f t="shared" si="65"/>
        <v>2.021669267852E-4</v>
      </c>
      <c r="P338" s="12"/>
      <c r="Q338" s="49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</row>
    <row r="339" spans="1:36" ht="20.100000000000001" customHeight="1" x14ac:dyDescent="0.25">
      <c r="A339" s="85"/>
      <c r="B339" s="67" t="s">
        <v>859</v>
      </c>
      <c r="C339" s="67" t="s">
        <v>860</v>
      </c>
      <c r="D339" s="67" t="s">
        <v>618</v>
      </c>
      <c r="E339" s="68" t="s">
        <v>861</v>
      </c>
      <c r="F339" s="67" t="s">
        <v>40</v>
      </c>
      <c r="G339" s="69">
        <v>3</v>
      </c>
      <c r="H339" s="70">
        <v>54.27</v>
      </c>
      <c r="I339" s="70">
        <f>26.11*1.22</f>
        <v>31.854199999999999</v>
      </c>
      <c r="J339" s="70">
        <f>28.16*1.22</f>
        <v>34.355199999999996</v>
      </c>
      <c r="K339" s="70">
        <f t="shared" si="66"/>
        <v>66.209399999999988</v>
      </c>
      <c r="L339" s="70">
        <f t="shared" si="67"/>
        <v>95.562600000000003</v>
      </c>
      <c r="M339" s="70">
        <f t="shared" si="68"/>
        <v>103.06559999999999</v>
      </c>
      <c r="N339" s="70">
        <f t="shared" si="69"/>
        <v>198.62819999999999</v>
      </c>
      <c r="O339" s="71">
        <f t="shared" si="65"/>
        <v>8.8685664034861272E-5</v>
      </c>
      <c r="P339" s="12"/>
      <c r="Q339" s="49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</row>
    <row r="340" spans="1:36" ht="20.100000000000001" customHeight="1" x14ac:dyDescent="0.25">
      <c r="A340" s="85"/>
      <c r="B340" s="67" t="s">
        <v>862</v>
      </c>
      <c r="C340" s="67" t="s">
        <v>863</v>
      </c>
      <c r="D340" s="67" t="s">
        <v>618</v>
      </c>
      <c r="E340" s="68" t="s">
        <v>864</v>
      </c>
      <c r="F340" s="67" t="s">
        <v>40</v>
      </c>
      <c r="G340" s="69">
        <v>1</v>
      </c>
      <c r="H340" s="70">
        <v>75.89</v>
      </c>
      <c r="I340" s="70">
        <f>21.07*1.22</f>
        <v>25.705400000000001</v>
      </c>
      <c r="J340" s="70">
        <f>54.02*1.22</f>
        <v>65.904399999999995</v>
      </c>
      <c r="K340" s="70">
        <f t="shared" si="66"/>
        <v>91.609799999999993</v>
      </c>
      <c r="L340" s="70">
        <f t="shared" si="67"/>
        <v>25.705400000000001</v>
      </c>
      <c r="M340" s="70">
        <f t="shared" si="68"/>
        <v>65.904399999999995</v>
      </c>
      <c r="N340" s="70">
        <f t="shared" si="69"/>
        <v>91.609799999999993</v>
      </c>
      <c r="O340" s="71">
        <f t="shared" si="65"/>
        <v>4.0902932942557168E-5</v>
      </c>
      <c r="P340" s="12"/>
      <c r="Q340" s="49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</row>
    <row r="341" spans="1:36" ht="33" customHeight="1" x14ac:dyDescent="0.25">
      <c r="A341" s="85"/>
      <c r="B341" s="67" t="s">
        <v>865</v>
      </c>
      <c r="C341" s="67" t="s">
        <v>866</v>
      </c>
      <c r="D341" s="67" t="s">
        <v>38</v>
      </c>
      <c r="E341" s="68" t="s">
        <v>867</v>
      </c>
      <c r="F341" s="67" t="s">
        <v>40</v>
      </c>
      <c r="G341" s="69">
        <v>8</v>
      </c>
      <c r="H341" s="70">
        <v>46.67</v>
      </c>
      <c r="I341" s="70">
        <f>26.13*1.22</f>
        <v>31.878599999999999</v>
      </c>
      <c r="J341" s="70">
        <f>20.54*1.22</f>
        <v>25.058799999999998</v>
      </c>
      <c r="K341" s="70">
        <f t="shared" si="66"/>
        <v>56.937399999999997</v>
      </c>
      <c r="L341" s="70">
        <f t="shared" si="67"/>
        <v>255.02879999999999</v>
      </c>
      <c r="M341" s="70">
        <f t="shared" si="68"/>
        <v>200.47039999999998</v>
      </c>
      <c r="N341" s="70">
        <f t="shared" si="69"/>
        <v>455.49919999999997</v>
      </c>
      <c r="O341" s="71">
        <f t="shared" si="65"/>
        <v>2.0337620246947856E-4</v>
      </c>
      <c r="P341" s="12"/>
      <c r="Q341" s="49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</row>
    <row r="342" spans="1:36" ht="33" customHeight="1" x14ac:dyDescent="0.25">
      <c r="A342" s="85"/>
      <c r="B342" s="67" t="s">
        <v>868</v>
      </c>
      <c r="C342" s="67" t="s">
        <v>869</v>
      </c>
      <c r="D342" s="67" t="s">
        <v>38</v>
      </c>
      <c r="E342" s="68" t="s">
        <v>870</v>
      </c>
      <c r="F342" s="67" t="s">
        <v>40</v>
      </c>
      <c r="G342" s="69">
        <v>1</v>
      </c>
      <c r="H342" s="70">
        <v>74.67</v>
      </c>
      <c r="I342" s="70">
        <f>41.07*1.22</f>
        <v>50.105399999999996</v>
      </c>
      <c r="J342" s="70">
        <f>33.6*1.22</f>
        <v>40.991999999999997</v>
      </c>
      <c r="K342" s="70">
        <f t="shared" si="66"/>
        <v>91.097399999999993</v>
      </c>
      <c r="L342" s="70">
        <f t="shared" si="67"/>
        <v>50.105399999999996</v>
      </c>
      <c r="M342" s="70">
        <f t="shared" si="68"/>
        <v>40.991999999999997</v>
      </c>
      <c r="N342" s="70">
        <f t="shared" si="69"/>
        <v>91.097399999999993</v>
      </c>
      <c r="O342" s="71">
        <f t="shared" si="65"/>
        <v>4.0674151056342311E-5</v>
      </c>
      <c r="P342" s="12"/>
      <c r="Q342" s="49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</row>
    <row r="343" spans="1:36" ht="33" customHeight="1" x14ac:dyDescent="0.25">
      <c r="A343" s="85"/>
      <c r="B343" s="67" t="s">
        <v>871</v>
      </c>
      <c r="C343" s="67" t="s">
        <v>872</v>
      </c>
      <c r="D343" s="67" t="s">
        <v>38</v>
      </c>
      <c r="E343" s="68" t="s">
        <v>873</v>
      </c>
      <c r="F343" s="67" t="s">
        <v>40</v>
      </c>
      <c r="G343" s="69">
        <v>2</v>
      </c>
      <c r="H343" s="70">
        <v>66.13</v>
      </c>
      <c r="I343" s="70">
        <f>36.02*1.22</f>
        <v>43.944400000000002</v>
      </c>
      <c r="J343" s="70">
        <f>30.11*1.22</f>
        <v>36.734200000000001</v>
      </c>
      <c r="K343" s="70">
        <f t="shared" si="66"/>
        <v>80.678600000000003</v>
      </c>
      <c r="L343" s="70">
        <f t="shared" si="67"/>
        <v>87.888800000000003</v>
      </c>
      <c r="M343" s="70">
        <f t="shared" si="68"/>
        <v>73.468400000000003</v>
      </c>
      <c r="N343" s="70">
        <f t="shared" si="69"/>
        <v>161.35720000000001</v>
      </c>
      <c r="O343" s="71">
        <f t="shared" si="65"/>
        <v>7.2044505406613563E-5</v>
      </c>
      <c r="P343" s="12"/>
      <c r="Q343" s="49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</row>
    <row r="344" spans="1:36" ht="33" customHeight="1" x14ac:dyDescent="0.25">
      <c r="A344" s="85"/>
      <c r="B344" s="67" t="s">
        <v>874</v>
      </c>
      <c r="C344" s="67" t="s">
        <v>875</v>
      </c>
      <c r="D344" s="67" t="s">
        <v>38</v>
      </c>
      <c r="E344" s="68" t="s">
        <v>876</v>
      </c>
      <c r="F344" s="67" t="s">
        <v>40</v>
      </c>
      <c r="G344" s="69">
        <v>23</v>
      </c>
      <c r="H344" s="70">
        <v>38.200000000000003</v>
      </c>
      <c r="I344" s="70">
        <f>21.14*1.22</f>
        <v>25.790800000000001</v>
      </c>
      <c r="J344" s="70">
        <f>17.06*1.22</f>
        <v>20.813199999999998</v>
      </c>
      <c r="K344" s="70">
        <f t="shared" si="66"/>
        <v>46.603999999999999</v>
      </c>
      <c r="L344" s="70">
        <f t="shared" si="67"/>
        <v>593.1884</v>
      </c>
      <c r="M344" s="70">
        <f t="shared" si="68"/>
        <v>478.70359999999994</v>
      </c>
      <c r="N344" s="70">
        <f t="shared" si="69"/>
        <v>1071.8919999999998</v>
      </c>
      <c r="O344" s="71">
        <f t="shared" si="65"/>
        <v>4.7858991721042384E-4</v>
      </c>
      <c r="P344" s="12"/>
      <c r="Q344" s="49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</row>
    <row r="345" spans="1:36" ht="20.100000000000001" customHeight="1" x14ac:dyDescent="0.25">
      <c r="A345" s="85"/>
      <c r="B345" s="67" t="s">
        <v>877</v>
      </c>
      <c r="C345" s="67">
        <v>92356</v>
      </c>
      <c r="D345" s="67" t="s">
        <v>38</v>
      </c>
      <c r="E345" s="68" t="s">
        <v>878</v>
      </c>
      <c r="F345" s="67" t="s">
        <v>40</v>
      </c>
      <c r="G345" s="69">
        <v>26</v>
      </c>
      <c r="H345" s="70">
        <v>12.02</v>
      </c>
      <c r="I345" s="70">
        <f>9.65*1.22</f>
        <v>11.773</v>
      </c>
      <c r="J345" s="70">
        <f>2.37*1.22</f>
        <v>2.8914</v>
      </c>
      <c r="K345" s="70">
        <f t="shared" si="66"/>
        <v>14.664400000000001</v>
      </c>
      <c r="L345" s="70">
        <f t="shared" si="67"/>
        <v>306.09800000000001</v>
      </c>
      <c r="M345" s="70">
        <f t="shared" si="68"/>
        <v>75.176400000000001</v>
      </c>
      <c r="N345" s="70">
        <f t="shared" si="69"/>
        <v>381.27440000000001</v>
      </c>
      <c r="O345" s="71">
        <f t="shared" si="65"/>
        <v>1.7023551209492565E-4</v>
      </c>
      <c r="P345" s="12"/>
      <c r="Q345" s="49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</row>
    <row r="346" spans="1:36" ht="33" customHeight="1" x14ac:dyDescent="0.25">
      <c r="A346" s="85"/>
      <c r="B346" s="67" t="s">
        <v>879</v>
      </c>
      <c r="C346" s="67">
        <v>92536</v>
      </c>
      <c r="D346" s="67" t="s">
        <v>38</v>
      </c>
      <c r="E346" s="68" t="s">
        <v>880</v>
      </c>
      <c r="F346" s="67" t="s">
        <v>40</v>
      </c>
      <c r="G346" s="69">
        <v>18</v>
      </c>
      <c r="H346" s="70">
        <v>12.02</v>
      </c>
      <c r="I346" s="70">
        <f>9.65*1.22</f>
        <v>11.773</v>
      </c>
      <c r="J346" s="70">
        <f>2.37*1.22</f>
        <v>2.8914</v>
      </c>
      <c r="K346" s="70">
        <f t="shared" si="66"/>
        <v>14.664400000000001</v>
      </c>
      <c r="L346" s="70">
        <f t="shared" si="67"/>
        <v>211.91399999999999</v>
      </c>
      <c r="M346" s="70">
        <f t="shared" si="68"/>
        <v>52.045200000000001</v>
      </c>
      <c r="N346" s="70">
        <f t="shared" si="69"/>
        <v>263.95920000000001</v>
      </c>
      <c r="O346" s="71">
        <f t="shared" si="65"/>
        <v>1.1785535452725623E-4</v>
      </c>
      <c r="P346" s="12"/>
      <c r="Q346" s="49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</row>
    <row r="347" spans="1:36" ht="20.100000000000001" customHeight="1" x14ac:dyDescent="0.25">
      <c r="A347" s="85"/>
      <c r="B347" s="67" t="s">
        <v>881</v>
      </c>
      <c r="C347" s="67">
        <v>92526</v>
      </c>
      <c r="D347" s="67" t="s">
        <v>38</v>
      </c>
      <c r="E347" s="68" t="s">
        <v>882</v>
      </c>
      <c r="F347" s="67" t="s">
        <v>40</v>
      </c>
      <c r="G347" s="69">
        <v>212</v>
      </c>
      <c r="H347" s="70">
        <v>11.9</v>
      </c>
      <c r="I347" s="70">
        <f>9.65*1.22</f>
        <v>11.773</v>
      </c>
      <c r="J347" s="70">
        <f>2.25*1.22</f>
        <v>2.7450000000000001</v>
      </c>
      <c r="K347" s="70">
        <f t="shared" si="66"/>
        <v>14.518000000000001</v>
      </c>
      <c r="L347" s="70">
        <f t="shared" si="67"/>
        <v>2495.8759999999997</v>
      </c>
      <c r="M347" s="70">
        <f t="shared" si="68"/>
        <v>581.94000000000005</v>
      </c>
      <c r="N347" s="70">
        <f t="shared" si="69"/>
        <v>3077.8159999999998</v>
      </c>
      <c r="O347" s="71">
        <f t="shared" si="65"/>
        <v>1.3742165298639398E-3</v>
      </c>
      <c r="P347" s="12"/>
      <c r="Q347" s="49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</row>
    <row r="348" spans="1:36" ht="33" customHeight="1" x14ac:dyDescent="0.25">
      <c r="A348" s="85"/>
      <c r="B348" s="67" t="s">
        <v>883</v>
      </c>
      <c r="C348" s="67" t="s">
        <v>884</v>
      </c>
      <c r="D348" s="67" t="s">
        <v>38</v>
      </c>
      <c r="E348" s="68" t="s">
        <v>885</v>
      </c>
      <c r="F348" s="67" t="s">
        <v>40</v>
      </c>
      <c r="G348" s="69">
        <v>34</v>
      </c>
      <c r="H348" s="70">
        <v>45.56</v>
      </c>
      <c r="I348" s="70">
        <f>26.13*1.22</f>
        <v>31.878599999999999</v>
      </c>
      <c r="J348" s="70">
        <f>19.43*1.22</f>
        <v>23.704599999999999</v>
      </c>
      <c r="K348" s="70">
        <f t="shared" si="66"/>
        <v>55.583199999999998</v>
      </c>
      <c r="L348" s="70">
        <f t="shared" si="67"/>
        <v>1083.8724</v>
      </c>
      <c r="M348" s="70">
        <f t="shared" si="68"/>
        <v>805.95640000000003</v>
      </c>
      <c r="N348" s="70">
        <f t="shared" si="69"/>
        <v>1889.8288</v>
      </c>
      <c r="O348" s="71">
        <f t="shared" si="65"/>
        <v>8.4379117386254848E-4</v>
      </c>
      <c r="P348" s="12"/>
      <c r="Q348" s="49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</row>
    <row r="349" spans="1:36" ht="33" customHeight="1" x14ac:dyDescent="0.25">
      <c r="A349" s="85"/>
      <c r="B349" s="67" t="s">
        <v>886</v>
      </c>
      <c r="C349" s="67" t="s">
        <v>887</v>
      </c>
      <c r="D349" s="67" t="s">
        <v>38</v>
      </c>
      <c r="E349" s="68" t="s">
        <v>888</v>
      </c>
      <c r="F349" s="67" t="s">
        <v>40</v>
      </c>
      <c r="G349" s="69">
        <v>1</v>
      </c>
      <c r="H349" s="70">
        <v>59.58</v>
      </c>
      <c r="I349" s="70">
        <f>33.55*1.22</f>
        <v>40.930999999999997</v>
      </c>
      <c r="J349" s="70">
        <f>26.03*1.22</f>
        <v>31.756600000000002</v>
      </c>
      <c r="K349" s="70">
        <f t="shared" si="66"/>
        <v>72.687600000000003</v>
      </c>
      <c r="L349" s="70">
        <f t="shared" si="67"/>
        <v>40.930999999999997</v>
      </c>
      <c r="M349" s="70">
        <f t="shared" si="68"/>
        <v>31.756600000000002</v>
      </c>
      <c r="N349" s="70">
        <f t="shared" si="69"/>
        <v>72.687600000000003</v>
      </c>
      <c r="O349" s="71">
        <f t="shared" si="65"/>
        <v>3.2454344715908329E-5</v>
      </c>
      <c r="P349" s="12"/>
      <c r="Q349" s="49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</row>
    <row r="350" spans="1:36" ht="33" customHeight="1" x14ac:dyDescent="0.25">
      <c r="A350" s="85"/>
      <c r="B350" s="67" t="s">
        <v>889</v>
      </c>
      <c r="C350" s="67" t="s">
        <v>890</v>
      </c>
      <c r="D350" s="67" t="s">
        <v>38</v>
      </c>
      <c r="E350" s="68" t="s">
        <v>891</v>
      </c>
      <c r="F350" s="67" t="s">
        <v>40</v>
      </c>
      <c r="G350" s="69">
        <v>10</v>
      </c>
      <c r="H350" s="70">
        <v>51.04</v>
      </c>
      <c r="I350" s="70">
        <f>28.5*1.22</f>
        <v>34.769999999999996</v>
      </c>
      <c r="J350" s="70">
        <f>22.54*1.22</f>
        <v>27.498799999999999</v>
      </c>
      <c r="K350" s="70">
        <f t="shared" si="66"/>
        <v>62.268799999999999</v>
      </c>
      <c r="L350" s="70">
        <f t="shared" si="67"/>
        <v>347.69999999999993</v>
      </c>
      <c r="M350" s="70">
        <f t="shared" si="68"/>
        <v>274.988</v>
      </c>
      <c r="N350" s="70">
        <f t="shared" si="69"/>
        <v>622.68799999999987</v>
      </c>
      <c r="O350" s="71">
        <f t="shared" si="65"/>
        <v>2.7802446362872789E-4</v>
      </c>
      <c r="P350" s="12"/>
      <c r="Q350" s="49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</row>
    <row r="351" spans="1:36" ht="33" customHeight="1" x14ac:dyDescent="0.25">
      <c r="A351" s="85"/>
      <c r="B351" s="67" t="s">
        <v>892</v>
      </c>
      <c r="C351" s="67" t="s">
        <v>893</v>
      </c>
      <c r="D351" s="67" t="s">
        <v>38</v>
      </c>
      <c r="E351" s="68" t="s">
        <v>894</v>
      </c>
      <c r="F351" s="67" t="s">
        <v>40</v>
      </c>
      <c r="G351" s="69">
        <v>72</v>
      </c>
      <c r="H351" s="70">
        <v>58.47</v>
      </c>
      <c r="I351" s="70">
        <f>33.55*1.22</f>
        <v>40.930999999999997</v>
      </c>
      <c r="J351" s="70">
        <f>24.92*1.22</f>
        <v>30.4024</v>
      </c>
      <c r="K351" s="70">
        <f t="shared" si="66"/>
        <v>71.333399999999997</v>
      </c>
      <c r="L351" s="70">
        <f t="shared" si="67"/>
        <v>2947.0319999999997</v>
      </c>
      <c r="M351" s="70">
        <f t="shared" si="68"/>
        <v>2188.9728</v>
      </c>
      <c r="N351" s="70">
        <f t="shared" si="69"/>
        <v>5136.0047999999997</v>
      </c>
      <c r="O351" s="71">
        <f t="shared" si="65"/>
        <v>2.2931788949113715E-3</v>
      </c>
      <c r="P351" s="12"/>
      <c r="Q351" s="49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</row>
    <row r="352" spans="1:36" ht="33" customHeight="1" x14ac:dyDescent="0.25">
      <c r="A352" s="85"/>
      <c r="B352" s="67" t="s">
        <v>895</v>
      </c>
      <c r="C352" s="67" t="s">
        <v>896</v>
      </c>
      <c r="D352" s="67" t="s">
        <v>38</v>
      </c>
      <c r="E352" s="68" t="s">
        <v>897</v>
      </c>
      <c r="F352" s="67" t="s">
        <v>40</v>
      </c>
      <c r="G352" s="69">
        <v>22</v>
      </c>
      <c r="H352" s="70">
        <v>62.75</v>
      </c>
      <c r="I352" s="70">
        <f>33.55*1.22</f>
        <v>40.930999999999997</v>
      </c>
      <c r="J352" s="70">
        <f>29.2*1.22</f>
        <v>35.623999999999995</v>
      </c>
      <c r="K352" s="70">
        <f t="shared" si="66"/>
        <v>76.554999999999993</v>
      </c>
      <c r="L352" s="70">
        <f t="shared" si="67"/>
        <v>900.48199999999997</v>
      </c>
      <c r="M352" s="70">
        <f t="shared" si="68"/>
        <v>783.72799999999984</v>
      </c>
      <c r="N352" s="70">
        <f t="shared" si="69"/>
        <v>1684.2099999999998</v>
      </c>
      <c r="O352" s="71">
        <f t="shared" si="65"/>
        <v>7.5198427123718433E-4</v>
      </c>
      <c r="P352" s="12"/>
      <c r="Q352" s="49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</row>
    <row r="353" spans="1:36" ht="33" customHeight="1" x14ac:dyDescent="0.25">
      <c r="A353" s="85"/>
      <c r="B353" s="67" t="s">
        <v>898</v>
      </c>
      <c r="C353" s="67" t="s">
        <v>899</v>
      </c>
      <c r="D353" s="67" t="s">
        <v>38</v>
      </c>
      <c r="E353" s="68" t="s">
        <v>900</v>
      </c>
      <c r="F353" s="67" t="s">
        <v>40</v>
      </c>
      <c r="G353" s="69">
        <v>2</v>
      </c>
      <c r="H353" s="70">
        <v>85.3</v>
      </c>
      <c r="I353" s="70">
        <f>48.43*1.22</f>
        <v>59.084600000000002</v>
      </c>
      <c r="J353" s="70">
        <f>36.87*1.22</f>
        <v>44.981399999999994</v>
      </c>
      <c r="K353" s="70">
        <f t="shared" si="66"/>
        <v>104.066</v>
      </c>
      <c r="L353" s="70">
        <f t="shared" si="67"/>
        <v>118.1692</v>
      </c>
      <c r="M353" s="70">
        <f t="shared" si="68"/>
        <v>89.962799999999987</v>
      </c>
      <c r="N353" s="70">
        <f t="shared" si="69"/>
        <v>208.13200000000001</v>
      </c>
      <c r="O353" s="71">
        <f t="shared" si="65"/>
        <v>9.2929023305370279E-5</v>
      </c>
      <c r="P353" s="12"/>
      <c r="Q353" s="49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</row>
    <row r="354" spans="1:36" ht="33" customHeight="1" x14ac:dyDescent="0.25">
      <c r="A354" s="85"/>
      <c r="B354" s="67" t="s">
        <v>901</v>
      </c>
      <c r="C354" s="67" t="s">
        <v>902</v>
      </c>
      <c r="D354" s="67" t="s">
        <v>38</v>
      </c>
      <c r="E354" s="68" t="s">
        <v>903</v>
      </c>
      <c r="F354" s="67" t="s">
        <v>40</v>
      </c>
      <c r="G354" s="69">
        <v>85</v>
      </c>
      <c r="H354" s="70">
        <v>31.58</v>
      </c>
      <c r="I354" s="70">
        <f>18.61*1.22</f>
        <v>22.7042</v>
      </c>
      <c r="J354" s="70">
        <f>12.97*1.22</f>
        <v>15.823400000000001</v>
      </c>
      <c r="K354" s="70">
        <f t="shared" si="66"/>
        <v>38.5276</v>
      </c>
      <c r="L354" s="70">
        <f t="shared" si="67"/>
        <v>1929.857</v>
      </c>
      <c r="M354" s="70">
        <f t="shared" si="68"/>
        <v>1344.989</v>
      </c>
      <c r="N354" s="70">
        <f t="shared" si="69"/>
        <v>3274.846</v>
      </c>
      <c r="O354" s="71">
        <f t="shared" si="65"/>
        <v>1.4621886123013213E-3</v>
      </c>
      <c r="P354" s="12"/>
      <c r="Q354" s="49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</row>
    <row r="355" spans="1:36" ht="33" customHeight="1" x14ac:dyDescent="0.25">
      <c r="A355" s="85"/>
      <c r="B355" s="67" t="s">
        <v>904</v>
      </c>
      <c r="C355" s="67" t="s">
        <v>905</v>
      </c>
      <c r="D355" s="67" t="s">
        <v>38</v>
      </c>
      <c r="E355" s="68" t="s">
        <v>906</v>
      </c>
      <c r="F355" s="67" t="s">
        <v>40</v>
      </c>
      <c r="G355" s="69">
        <v>11</v>
      </c>
      <c r="H355" s="70">
        <v>33.72</v>
      </c>
      <c r="I355" s="70">
        <f>18.61*1.22</f>
        <v>22.7042</v>
      </c>
      <c r="J355" s="70">
        <f>15.11*1.22</f>
        <v>18.434200000000001</v>
      </c>
      <c r="K355" s="70">
        <f t="shared" si="66"/>
        <v>41.138400000000004</v>
      </c>
      <c r="L355" s="70">
        <f t="shared" si="67"/>
        <v>249.74619999999999</v>
      </c>
      <c r="M355" s="70">
        <f t="shared" si="68"/>
        <v>202.77620000000002</v>
      </c>
      <c r="N355" s="70">
        <f t="shared" si="69"/>
        <v>452.5224</v>
      </c>
      <c r="O355" s="71">
        <f t="shared" si="65"/>
        <v>2.0204708865432556E-4</v>
      </c>
      <c r="P355" s="12"/>
      <c r="Q355" s="49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</row>
    <row r="356" spans="1:36" ht="20.100000000000001" customHeight="1" x14ac:dyDescent="0.25">
      <c r="A356" s="85"/>
      <c r="B356" s="67" t="s">
        <v>907</v>
      </c>
      <c r="C356" s="67">
        <v>245621</v>
      </c>
      <c r="D356" s="67" t="s">
        <v>618</v>
      </c>
      <c r="E356" s="68" t="s">
        <v>908</v>
      </c>
      <c r="F356" s="67" t="s">
        <v>327</v>
      </c>
      <c r="G356" s="69">
        <v>2</v>
      </c>
      <c r="H356" s="70">
        <v>119.44</v>
      </c>
      <c r="I356" s="70">
        <f>42.85*1.22</f>
        <v>52.277000000000001</v>
      </c>
      <c r="J356" s="70">
        <f>76.59*1.22</f>
        <v>93.439800000000005</v>
      </c>
      <c r="K356" s="70">
        <f t="shared" si="66"/>
        <v>145.71680000000001</v>
      </c>
      <c r="L356" s="70">
        <f t="shared" si="67"/>
        <v>104.554</v>
      </c>
      <c r="M356" s="70">
        <f t="shared" si="68"/>
        <v>186.87960000000001</v>
      </c>
      <c r="N356" s="70">
        <f t="shared" si="69"/>
        <v>291.43360000000001</v>
      </c>
      <c r="O356" s="71">
        <f t="shared" si="65"/>
        <v>1.3012242137858647E-4</v>
      </c>
      <c r="P356" s="12"/>
      <c r="Q356" s="49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</row>
    <row r="357" spans="1:36" ht="33" customHeight="1" x14ac:dyDescent="0.25">
      <c r="A357" s="85"/>
      <c r="B357" s="67" t="s">
        <v>909</v>
      </c>
      <c r="C357" s="67">
        <v>101895</v>
      </c>
      <c r="D357" s="67" t="s">
        <v>38</v>
      </c>
      <c r="E357" s="68" t="s">
        <v>910</v>
      </c>
      <c r="F357" s="67" t="s">
        <v>40</v>
      </c>
      <c r="G357" s="69">
        <v>2</v>
      </c>
      <c r="H357" s="70">
        <v>438.52</v>
      </c>
      <c r="I357" s="70">
        <f>77.54*1.22</f>
        <v>94.598800000000011</v>
      </c>
      <c r="J357" s="70">
        <f>360.98*1.22</f>
        <v>440.3956</v>
      </c>
      <c r="K357" s="70">
        <f t="shared" si="66"/>
        <v>534.99440000000004</v>
      </c>
      <c r="L357" s="70">
        <f t="shared" si="67"/>
        <v>189.19760000000002</v>
      </c>
      <c r="M357" s="70">
        <f t="shared" si="68"/>
        <v>880.7912</v>
      </c>
      <c r="N357" s="70">
        <f t="shared" si="69"/>
        <v>1069.9888000000001</v>
      </c>
      <c r="O357" s="71">
        <f t="shared" si="65"/>
        <v>4.7774015591876877E-4</v>
      </c>
      <c r="P357" s="12"/>
      <c r="Q357" s="49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</row>
    <row r="358" spans="1:36" ht="20.100000000000001" customHeight="1" x14ac:dyDescent="0.25">
      <c r="A358" s="85"/>
      <c r="B358" s="67" t="s">
        <v>911</v>
      </c>
      <c r="C358" s="67" t="s">
        <v>912</v>
      </c>
      <c r="D358" s="67" t="s">
        <v>38</v>
      </c>
      <c r="E358" s="68" t="s">
        <v>913</v>
      </c>
      <c r="F358" s="67" t="s">
        <v>40</v>
      </c>
      <c r="G358" s="69">
        <v>1</v>
      </c>
      <c r="H358" s="70">
        <v>12.06</v>
      </c>
      <c r="I358" s="70">
        <f>2.06*1.22</f>
        <v>2.5131999999999999</v>
      </c>
      <c r="J358" s="70">
        <f>100*1.22</f>
        <v>122</v>
      </c>
      <c r="K358" s="70">
        <f t="shared" si="66"/>
        <v>124.5132</v>
      </c>
      <c r="L358" s="70">
        <f t="shared" si="67"/>
        <v>2.5131999999999999</v>
      </c>
      <c r="M358" s="70">
        <f t="shared" si="68"/>
        <v>122</v>
      </c>
      <c r="N358" s="70">
        <f t="shared" si="69"/>
        <v>124.5132</v>
      </c>
      <c r="O358" s="71">
        <f t="shared" si="65"/>
        <v>5.559399835021155E-5</v>
      </c>
      <c r="P358" s="12"/>
      <c r="Q358" s="49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</row>
    <row r="359" spans="1:36" ht="20.100000000000001" customHeight="1" x14ac:dyDescent="0.25">
      <c r="A359" s="85"/>
      <c r="B359" s="67" t="s">
        <v>914</v>
      </c>
      <c r="C359" s="67" t="s">
        <v>915</v>
      </c>
      <c r="D359" s="67" t="s">
        <v>38</v>
      </c>
      <c r="E359" s="68" t="s">
        <v>916</v>
      </c>
      <c r="F359" s="67" t="s">
        <v>40</v>
      </c>
      <c r="G359" s="69">
        <v>37</v>
      </c>
      <c r="H359" s="70">
        <v>12.99</v>
      </c>
      <c r="I359" s="70">
        <f>2.77*1.22</f>
        <v>3.3794</v>
      </c>
      <c r="J359" s="70">
        <f>10.22*1.22</f>
        <v>12.468400000000001</v>
      </c>
      <c r="K359" s="70">
        <f t="shared" si="66"/>
        <v>15.847800000000001</v>
      </c>
      <c r="L359" s="70">
        <f t="shared" si="67"/>
        <v>125.0378</v>
      </c>
      <c r="M359" s="70">
        <f t="shared" si="68"/>
        <v>461.33080000000001</v>
      </c>
      <c r="N359" s="70">
        <f t="shared" si="69"/>
        <v>586.36860000000001</v>
      </c>
      <c r="O359" s="71">
        <f t="shared" si="65"/>
        <v>2.6180818564630783E-4</v>
      </c>
      <c r="P359" s="12"/>
      <c r="Q359" s="49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</row>
    <row r="360" spans="1:36" ht="20.100000000000001" customHeight="1" x14ac:dyDescent="0.25">
      <c r="A360" s="85"/>
      <c r="B360" s="67" t="s">
        <v>917</v>
      </c>
      <c r="C360" s="67" t="s">
        <v>918</v>
      </c>
      <c r="D360" s="67" t="s">
        <v>38</v>
      </c>
      <c r="E360" s="68" t="s">
        <v>919</v>
      </c>
      <c r="F360" s="67" t="s">
        <v>40</v>
      </c>
      <c r="G360" s="69">
        <v>5</v>
      </c>
      <c r="H360" s="70">
        <v>57.41</v>
      </c>
      <c r="I360" s="70">
        <f>5.56*1.22</f>
        <v>6.783199999999999</v>
      </c>
      <c r="J360" s="70">
        <f>51.85*1.22</f>
        <v>63.256999999999998</v>
      </c>
      <c r="K360" s="70">
        <f t="shared" si="66"/>
        <v>70.040199999999999</v>
      </c>
      <c r="L360" s="70">
        <f t="shared" si="67"/>
        <v>33.915999999999997</v>
      </c>
      <c r="M360" s="70">
        <f t="shared" si="68"/>
        <v>316.28499999999997</v>
      </c>
      <c r="N360" s="70">
        <f t="shared" si="69"/>
        <v>350.20099999999996</v>
      </c>
      <c r="O360" s="71">
        <f t="shared" si="65"/>
        <v>1.5636152485232435E-4</v>
      </c>
      <c r="P360" s="12"/>
      <c r="Q360" s="49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</row>
    <row r="361" spans="1:36" ht="20.100000000000001" customHeight="1" x14ac:dyDescent="0.25">
      <c r="A361" s="85"/>
      <c r="B361" s="67" t="s">
        <v>920</v>
      </c>
      <c r="C361" s="67" t="s">
        <v>921</v>
      </c>
      <c r="D361" s="67" t="s">
        <v>38</v>
      </c>
      <c r="E361" s="68" t="s">
        <v>922</v>
      </c>
      <c r="F361" s="67" t="s">
        <v>40</v>
      </c>
      <c r="G361" s="69">
        <v>32</v>
      </c>
      <c r="H361" s="70">
        <v>60.86</v>
      </c>
      <c r="I361" s="70">
        <f>7.75*1.22</f>
        <v>9.4550000000000001</v>
      </c>
      <c r="J361" s="70">
        <f>53.11*1.22</f>
        <v>64.794200000000004</v>
      </c>
      <c r="K361" s="70">
        <f t="shared" si="66"/>
        <v>74.249200000000002</v>
      </c>
      <c r="L361" s="70">
        <f t="shared" si="67"/>
        <v>302.56</v>
      </c>
      <c r="M361" s="70">
        <f t="shared" si="68"/>
        <v>2073.4144000000001</v>
      </c>
      <c r="N361" s="70">
        <f t="shared" si="69"/>
        <v>2375.9744000000001</v>
      </c>
      <c r="O361" s="71">
        <f t="shared" si="65"/>
        <v>1.0608507120027826E-3</v>
      </c>
      <c r="P361" s="12"/>
      <c r="Q361" s="49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</row>
    <row r="362" spans="1:36" ht="20.100000000000001" customHeight="1" x14ac:dyDescent="0.25">
      <c r="A362" s="85"/>
      <c r="B362" s="67" t="s">
        <v>923</v>
      </c>
      <c r="C362" s="67" t="s">
        <v>924</v>
      </c>
      <c r="D362" s="67" t="s">
        <v>38</v>
      </c>
      <c r="E362" s="68" t="s">
        <v>925</v>
      </c>
      <c r="F362" s="67" t="s">
        <v>40</v>
      </c>
      <c r="G362" s="69">
        <v>2</v>
      </c>
      <c r="H362" s="70">
        <v>65.11</v>
      </c>
      <c r="I362" s="70">
        <f>10.67*1.22</f>
        <v>13.0174</v>
      </c>
      <c r="J362" s="70">
        <f>54.44*1.22</f>
        <v>66.416799999999995</v>
      </c>
      <c r="K362" s="70">
        <f t="shared" si="66"/>
        <v>79.43419999999999</v>
      </c>
      <c r="L362" s="70">
        <f t="shared" si="67"/>
        <v>26.034800000000001</v>
      </c>
      <c r="M362" s="70">
        <f t="shared" si="68"/>
        <v>132.83359999999999</v>
      </c>
      <c r="N362" s="70">
        <f t="shared" si="69"/>
        <v>158.86839999999998</v>
      </c>
      <c r="O362" s="71">
        <f t="shared" si="65"/>
        <v>7.0933279102141362E-5</v>
      </c>
      <c r="P362" s="12"/>
      <c r="Q362" s="49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</row>
    <row r="363" spans="1:36" ht="20.100000000000001" customHeight="1" x14ac:dyDescent="0.25">
      <c r="A363" s="85"/>
      <c r="B363" s="67" t="s">
        <v>926</v>
      </c>
      <c r="C363" s="67" t="s">
        <v>927</v>
      </c>
      <c r="D363" s="67" t="s">
        <v>38</v>
      </c>
      <c r="E363" s="68" t="s">
        <v>928</v>
      </c>
      <c r="F363" s="67" t="s">
        <v>40</v>
      </c>
      <c r="G363" s="69">
        <v>2</v>
      </c>
      <c r="H363" s="70">
        <v>71.290000000000006</v>
      </c>
      <c r="I363" s="70">
        <f>15.84*1.22</f>
        <v>19.3248</v>
      </c>
      <c r="J363" s="70">
        <f>55.45*1.22</f>
        <v>67.649000000000001</v>
      </c>
      <c r="K363" s="70">
        <f t="shared" si="66"/>
        <v>86.973799999999997</v>
      </c>
      <c r="L363" s="70">
        <f t="shared" si="67"/>
        <v>38.6496</v>
      </c>
      <c r="M363" s="70">
        <f t="shared" si="68"/>
        <v>135.298</v>
      </c>
      <c r="N363" s="70">
        <f t="shared" si="69"/>
        <v>173.94759999999999</v>
      </c>
      <c r="O363" s="71">
        <f t="shared" si="65"/>
        <v>7.7666003182178735E-5</v>
      </c>
      <c r="P363" s="12"/>
      <c r="Q363" s="49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</row>
    <row r="364" spans="1:36" ht="20.100000000000001" customHeight="1" x14ac:dyDescent="0.25">
      <c r="A364" s="85"/>
      <c r="B364" s="67" t="s">
        <v>929</v>
      </c>
      <c r="C364" s="67" t="s">
        <v>930</v>
      </c>
      <c r="D364" s="67" t="s">
        <v>24</v>
      </c>
      <c r="E364" s="68" t="s">
        <v>931</v>
      </c>
      <c r="F364" s="67" t="s">
        <v>40</v>
      </c>
      <c r="G364" s="69">
        <v>2</v>
      </c>
      <c r="H364" s="70">
        <v>157.61000000000001</v>
      </c>
      <c r="I364" s="70">
        <f>31.6*1.22</f>
        <v>38.552</v>
      </c>
      <c r="J364" s="70">
        <f>126.01*1.22</f>
        <v>153.73220000000001</v>
      </c>
      <c r="K364" s="70">
        <f t="shared" si="66"/>
        <v>192.2842</v>
      </c>
      <c r="L364" s="70">
        <f t="shared" si="67"/>
        <v>77.103999999999999</v>
      </c>
      <c r="M364" s="70">
        <f t="shared" si="68"/>
        <v>307.46440000000001</v>
      </c>
      <c r="N364" s="70">
        <f t="shared" si="69"/>
        <v>384.5684</v>
      </c>
      <c r="O364" s="71">
        <f t="shared" si="65"/>
        <v>1.7170625279202122E-4</v>
      </c>
      <c r="P364" s="12"/>
      <c r="Q364" s="49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</row>
    <row r="365" spans="1:36" ht="33" customHeight="1" x14ac:dyDescent="0.25">
      <c r="A365" s="85"/>
      <c r="B365" s="67" t="s">
        <v>932</v>
      </c>
      <c r="C365" s="67" t="s">
        <v>933</v>
      </c>
      <c r="D365" s="67" t="s">
        <v>24</v>
      </c>
      <c r="E365" s="68" t="s">
        <v>934</v>
      </c>
      <c r="F365" s="67" t="s">
        <v>327</v>
      </c>
      <c r="G365" s="69">
        <v>1</v>
      </c>
      <c r="H365" s="70">
        <v>518.08000000000004</v>
      </c>
      <c r="I365" s="70">
        <f>86.76*1.22</f>
        <v>105.8472</v>
      </c>
      <c r="J365" s="70">
        <f>431.32*1.22</f>
        <v>526.21039999999994</v>
      </c>
      <c r="K365" s="70">
        <f t="shared" si="66"/>
        <v>632.05759999999998</v>
      </c>
      <c r="L365" s="70">
        <f t="shared" si="67"/>
        <v>105.8472</v>
      </c>
      <c r="M365" s="70">
        <f t="shared" si="68"/>
        <v>526.21039999999994</v>
      </c>
      <c r="N365" s="70">
        <f t="shared" si="69"/>
        <v>632.05759999999998</v>
      </c>
      <c r="O365" s="71">
        <f t="shared" si="65"/>
        <v>2.8220790383379972E-4</v>
      </c>
      <c r="P365" s="12"/>
      <c r="Q365" s="49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</row>
    <row r="366" spans="1:36" ht="33" customHeight="1" x14ac:dyDescent="0.25">
      <c r="A366" s="85"/>
      <c r="B366" s="67" t="s">
        <v>935</v>
      </c>
      <c r="C366" s="67" t="s">
        <v>936</v>
      </c>
      <c r="D366" s="67" t="s">
        <v>24</v>
      </c>
      <c r="E366" s="68" t="s">
        <v>937</v>
      </c>
      <c r="F366" s="67" t="s">
        <v>40</v>
      </c>
      <c r="G366" s="69">
        <v>14</v>
      </c>
      <c r="H366" s="70">
        <v>2892.44</v>
      </c>
      <c r="I366" s="70">
        <f>33.13*1.22</f>
        <v>40.418600000000005</v>
      </c>
      <c r="J366" s="70">
        <f>2859.31*1.22</f>
        <v>3488.3581999999997</v>
      </c>
      <c r="K366" s="70">
        <f t="shared" si="66"/>
        <v>3528.7767999999996</v>
      </c>
      <c r="L366" s="70">
        <f t="shared" si="67"/>
        <v>565.86040000000003</v>
      </c>
      <c r="M366" s="70">
        <f t="shared" si="68"/>
        <v>48837.014799999997</v>
      </c>
      <c r="N366" s="70">
        <f t="shared" si="69"/>
        <v>49402.875199999995</v>
      </c>
      <c r="O366" s="71">
        <f t="shared" si="65"/>
        <v>2.2057929298777212E-2</v>
      </c>
      <c r="P366" s="12"/>
      <c r="Q366" s="49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</row>
    <row r="367" spans="1:36" ht="33" customHeight="1" x14ac:dyDescent="0.25">
      <c r="A367" s="85"/>
      <c r="B367" s="67" t="s">
        <v>938</v>
      </c>
      <c r="C367" s="67" t="s">
        <v>939</v>
      </c>
      <c r="D367" s="67" t="s">
        <v>24</v>
      </c>
      <c r="E367" s="68" t="s">
        <v>940</v>
      </c>
      <c r="F367" s="67" t="s">
        <v>327</v>
      </c>
      <c r="G367" s="69">
        <v>4</v>
      </c>
      <c r="H367" s="70">
        <v>71.63</v>
      </c>
      <c r="I367" s="70">
        <f>33.13*1.22</f>
        <v>40.418600000000005</v>
      </c>
      <c r="J367" s="70">
        <f>668.5*1.22</f>
        <v>815.56999999999994</v>
      </c>
      <c r="K367" s="70">
        <f t="shared" si="66"/>
        <v>855.98859999999991</v>
      </c>
      <c r="L367" s="70">
        <f t="shared" si="67"/>
        <v>161.67440000000002</v>
      </c>
      <c r="M367" s="70">
        <f t="shared" si="68"/>
        <v>3262.2799999999997</v>
      </c>
      <c r="N367" s="70">
        <f t="shared" si="69"/>
        <v>3423.9543999999996</v>
      </c>
      <c r="O367" s="71">
        <f t="shared" si="65"/>
        <v>1.5287641411898462E-3</v>
      </c>
      <c r="P367" s="12"/>
      <c r="Q367" s="49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</row>
    <row r="368" spans="1:36" ht="20.100000000000001" customHeight="1" x14ac:dyDescent="0.25">
      <c r="A368" s="85"/>
      <c r="B368" s="67" t="s">
        <v>941</v>
      </c>
      <c r="C368" s="67" t="s">
        <v>942</v>
      </c>
      <c r="D368" s="67" t="s">
        <v>618</v>
      </c>
      <c r="E368" s="68" t="s">
        <v>943</v>
      </c>
      <c r="F368" s="67" t="s">
        <v>40</v>
      </c>
      <c r="G368" s="69">
        <v>1</v>
      </c>
      <c r="H368" s="70">
        <v>532.20000000000005</v>
      </c>
      <c r="I368" s="70">
        <f>42.85*1.22</f>
        <v>52.277000000000001</v>
      </c>
      <c r="J368" s="70">
        <f>489.35*1.22</f>
        <v>597.00700000000006</v>
      </c>
      <c r="K368" s="70">
        <f t="shared" si="66"/>
        <v>649.28400000000011</v>
      </c>
      <c r="L368" s="70">
        <f t="shared" si="67"/>
        <v>52.277000000000001</v>
      </c>
      <c r="M368" s="70">
        <f t="shared" si="68"/>
        <v>597.00700000000006</v>
      </c>
      <c r="N368" s="70">
        <f t="shared" si="69"/>
        <v>649.28400000000011</v>
      </c>
      <c r="O368" s="71">
        <f t="shared" si="65"/>
        <v>2.8989933296083277E-4</v>
      </c>
      <c r="P368" s="12"/>
      <c r="Q368" s="49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</row>
    <row r="369" spans="1:36" ht="20.100000000000001" customHeight="1" x14ac:dyDescent="0.25">
      <c r="A369" s="85"/>
      <c r="B369" s="67" t="s">
        <v>944</v>
      </c>
      <c r="C369" s="67" t="s">
        <v>945</v>
      </c>
      <c r="D369" s="67" t="s">
        <v>618</v>
      </c>
      <c r="E369" s="68" t="s">
        <v>946</v>
      </c>
      <c r="F369" s="67" t="s">
        <v>327</v>
      </c>
      <c r="G369" s="69">
        <v>2</v>
      </c>
      <c r="H369" s="70">
        <v>347.23</v>
      </c>
      <c r="I369" s="70">
        <f>42.85*1.22</f>
        <v>52.277000000000001</v>
      </c>
      <c r="J369" s="70">
        <f>304.38*1.22</f>
        <v>371.34359999999998</v>
      </c>
      <c r="K369" s="70">
        <f t="shared" si="66"/>
        <v>423.62059999999997</v>
      </c>
      <c r="L369" s="70">
        <f t="shared" si="67"/>
        <v>104.554</v>
      </c>
      <c r="M369" s="70">
        <f t="shared" si="68"/>
        <v>742.68719999999996</v>
      </c>
      <c r="N369" s="70">
        <f t="shared" si="69"/>
        <v>847.24119999999994</v>
      </c>
      <c r="O369" s="71">
        <f t="shared" si="65"/>
        <v>3.7828540166850782E-4</v>
      </c>
      <c r="P369" s="12"/>
      <c r="Q369" s="49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</row>
    <row r="370" spans="1:36" ht="20.100000000000001" customHeight="1" x14ac:dyDescent="0.25">
      <c r="A370" s="85"/>
      <c r="B370" s="67" t="s">
        <v>947</v>
      </c>
      <c r="C370" s="67" t="s">
        <v>948</v>
      </c>
      <c r="D370" s="67" t="s">
        <v>618</v>
      </c>
      <c r="E370" s="68" t="s">
        <v>949</v>
      </c>
      <c r="F370" s="67" t="s">
        <v>73</v>
      </c>
      <c r="G370" s="69">
        <v>29.4</v>
      </c>
      <c r="H370" s="70">
        <v>88.38</v>
      </c>
      <c r="I370" s="70">
        <f>26.34*1.22</f>
        <v>32.134799999999998</v>
      </c>
      <c r="J370" s="70">
        <f>62.04*1.22</f>
        <v>75.688800000000001</v>
      </c>
      <c r="K370" s="70">
        <f t="shared" si="66"/>
        <v>107.8236</v>
      </c>
      <c r="L370" s="70">
        <f t="shared" si="67"/>
        <v>944.76311999999996</v>
      </c>
      <c r="M370" s="70">
        <f t="shared" si="68"/>
        <v>2225.25072</v>
      </c>
      <c r="N370" s="70">
        <f t="shared" si="69"/>
        <v>3170.0138400000001</v>
      </c>
      <c r="O370" s="71">
        <f t="shared" si="65"/>
        <v>1.4153820172568673E-3</v>
      </c>
      <c r="P370" s="12"/>
      <c r="Q370" s="49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</row>
    <row r="371" spans="1:36" ht="20.100000000000001" customHeight="1" x14ac:dyDescent="0.25">
      <c r="A371" s="85"/>
      <c r="B371" s="67" t="s">
        <v>950</v>
      </c>
      <c r="C371" s="67" t="s">
        <v>951</v>
      </c>
      <c r="D371" s="67" t="s">
        <v>618</v>
      </c>
      <c r="E371" s="68" t="s">
        <v>952</v>
      </c>
      <c r="F371" s="67" t="s">
        <v>40</v>
      </c>
      <c r="G371" s="69">
        <v>22</v>
      </c>
      <c r="H371" s="70">
        <v>24.38</v>
      </c>
      <c r="I371" s="70">
        <f>13.17*1.22</f>
        <v>16.067399999999999</v>
      </c>
      <c r="J371" s="70">
        <f>11.21*1.22</f>
        <v>13.676200000000001</v>
      </c>
      <c r="K371" s="70">
        <f t="shared" si="66"/>
        <v>29.743600000000001</v>
      </c>
      <c r="L371" s="70">
        <f t="shared" si="67"/>
        <v>353.4828</v>
      </c>
      <c r="M371" s="70">
        <f t="shared" si="68"/>
        <v>300.87640000000005</v>
      </c>
      <c r="N371" s="70">
        <f t="shared" si="69"/>
        <v>654.3592000000001</v>
      </c>
      <c r="O371" s="71">
        <f t="shared" si="65"/>
        <v>2.9216536307191329E-4</v>
      </c>
      <c r="P371" s="12"/>
      <c r="Q371" s="49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</row>
    <row r="372" spans="1:36" ht="33" customHeight="1" x14ac:dyDescent="0.25">
      <c r="A372" s="85"/>
      <c r="B372" s="67" t="s">
        <v>953</v>
      </c>
      <c r="C372" s="67" t="s">
        <v>954</v>
      </c>
      <c r="D372" s="67" t="s">
        <v>38</v>
      </c>
      <c r="E372" s="68" t="s">
        <v>955</v>
      </c>
      <c r="F372" s="67" t="s">
        <v>73</v>
      </c>
      <c r="G372" s="69">
        <v>113.6</v>
      </c>
      <c r="H372" s="70">
        <v>27.62</v>
      </c>
      <c r="I372" s="70">
        <f>13.5*1.22</f>
        <v>16.47</v>
      </c>
      <c r="J372" s="70">
        <f>14.12*1.22</f>
        <v>17.226399999999998</v>
      </c>
      <c r="K372" s="70">
        <f t="shared" si="66"/>
        <v>33.696399999999997</v>
      </c>
      <c r="L372" s="70">
        <f t="shared" si="67"/>
        <v>1870.9919999999997</v>
      </c>
      <c r="M372" s="70">
        <f t="shared" si="68"/>
        <v>1956.9190399999998</v>
      </c>
      <c r="N372" s="70">
        <f t="shared" si="69"/>
        <v>3827.9110399999995</v>
      </c>
      <c r="O372" s="71">
        <f t="shared" si="65"/>
        <v>1.7091270647812164E-3</v>
      </c>
      <c r="P372" s="12"/>
      <c r="Q372" s="49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</row>
    <row r="373" spans="1:36" ht="33" customHeight="1" x14ac:dyDescent="0.25">
      <c r="A373" s="85"/>
      <c r="B373" s="67" t="s">
        <v>956</v>
      </c>
      <c r="C373" s="67" t="s">
        <v>957</v>
      </c>
      <c r="D373" s="67" t="s">
        <v>38</v>
      </c>
      <c r="E373" s="68" t="s">
        <v>958</v>
      </c>
      <c r="F373" s="67" t="s">
        <v>73</v>
      </c>
      <c r="G373" s="69">
        <v>1099.5999999999999</v>
      </c>
      <c r="H373" s="70">
        <v>23.07</v>
      </c>
      <c r="I373" s="70">
        <f>12.7*1.22</f>
        <v>15.493999999999998</v>
      </c>
      <c r="J373" s="70">
        <f>10.37*1.22</f>
        <v>12.651399999999999</v>
      </c>
      <c r="K373" s="70">
        <f t="shared" si="66"/>
        <v>28.145399999999995</v>
      </c>
      <c r="L373" s="70">
        <f t="shared" si="67"/>
        <v>17037.202399999995</v>
      </c>
      <c r="M373" s="70">
        <f t="shared" si="68"/>
        <v>13911.479439999997</v>
      </c>
      <c r="N373" s="70">
        <f t="shared" si="69"/>
        <v>30948.68183999999</v>
      </c>
      <c r="O373" s="71">
        <f t="shared" si="65"/>
        <v>1.3818301731496592E-2</v>
      </c>
      <c r="P373" s="12"/>
      <c r="Q373" s="49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</row>
    <row r="374" spans="1:36" ht="33" customHeight="1" x14ac:dyDescent="0.25">
      <c r="A374" s="85"/>
      <c r="B374" s="67" t="s">
        <v>959</v>
      </c>
      <c r="C374" s="67" t="s">
        <v>960</v>
      </c>
      <c r="D374" s="67" t="s">
        <v>38</v>
      </c>
      <c r="E374" s="68" t="s">
        <v>961</v>
      </c>
      <c r="F374" s="67" t="s">
        <v>73</v>
      </c>
      <c r="G374" s="69">
        <v>42.9</v>
      </c>
      <c r="H374" s="70">
        <v>19.22</v>
      </c>
      <c r="I374" s="70">
        <f>6.58*1.22</f>
        <v>8.0275999999999996</v>
      </c>
      <c r="J374" s="70">
        <f>12.64*1.22</f>
        <v>15.4208</v>
      </c>
      <c r="K374" s="70">
        <f t="shared" si="66"/>
        <v>23.448399999999999</v>
      </c>
      <c r="L374" s="70">
        <f t="shared" si="67"/>
        <v>344.38403999999997</v>
      </c>
      <c r="M374" s="70">
        <f t="shared" si="68"/>
        <v>661.55232000000001</v>
      </c>
      <c r="N374" s="70">
        <f t="shared" si="69"/>
        <v>1005.9363599999999</v>
      </c>
      <c r="O374" s="71">
        <f t="shared" si="65"/>
        <v>4.4914133070435747E-4</v>
      </c>
      <c r="P374" s="12"/>
      <c r="Q374" s="49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</row>
    <row r="375" spans="1:36" ht="33" customHeight="1" x14ac:dyDescent="0.25">
      <c r="A375" s="85"/>
      <c r="B375" s="67" t="s">
        <v>962</v>
      </c>
      <c r="C375" s="67" t="s">
        <v>963</v>
      </c>
      <c r="D375" s="67" t="s">
        <v>38</v>
      </c>
      <c r="E375" s="68" t="s">
        <v>964</v>
      </c>
      <c r="F375" s="67" t="s">
        <v>73</v>
      </c>
      <c r="G375" s="69">
        <v>133.19999999999999</v>
      </c>
      <c r="H375" s="70">
        <v>21.28</v>
      </c>
      <c r="I375" s="70">
        <f>9.51*1.22</f>
        <v>11.6022</v>
      </c>
      <c r="J375" s="70">
        <f>11.77*1.22</f>
        <v>14.359399999999999</v>
      </c>
      <c r="K375" s="70">
        <f t="shared" si="66"/>
        <v>25.961599999999997</v>
      </c>
      <c r="L375" s="70">
        <f t="shared" si="67"/>
        <v>1545.4130399999999</v>
      </c>
      <c r="M375" s="70">
        <f t="shared" si="68"/>
        <v>1912.6720799999998</v>
      </c>
      <c r="N375" s="70">
        <f t="shared" si="69"/>
        <v>3458.0851199999997</v>
      </c>
      <c r="O375" s="71">
        <f t="shared" si="65"/>
        <v>1.5440031936868627E-3</v>
      </c>
      <c r="P375" s="12"/>
      <c r="Q375" s="49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</row>
    <row r="376" spans="1:36" ht="33" customHeight="1" x14ac:dyDescent="0.25">
      <c r="A376" s="85"/>
      <c r="B376" s="67" t="s">
        <v>965</v>
      </c>
      <c r="C376" s="67" t="s">
        <v>966</v>
      </c>
      <c r="D376" s="67" t="s">
        <v>38</v>
      </c>
      <c r="E376" s="68" t="s">
        <v>967</v>
      </c>
      <c r="F376" s="67" t="s">
        <v>73</v>
      </c>
      <c r="G376" s="69">
        <v>41.4</v>
      </c>
      <c r="H376" s="70">
        <v>27.33</v>
      </c>
      <c r="I376" s="70">
        <f>7.55*1.22</f>
        <v>9.2110000000000003</v>
      </c>
      <c r="J376" s="70">
        <f>19.78*1.22</f>
        <v>24.131600000000002</v>
      </c>
      <c r="K376" s="70">
        <f t="shared" si="66"/>
        <v>33.342600000000004</v>
      </c>
      <c r="L376" s="70">
        <f t="shared" si="67"/>
        <v>381.33539999999999</v>
      </c>
      <c r="M376" s="70">
        <f t="shared" si="68"/>
        <v>999.04824000000008</v>
      </c>
      <c r="N376" s="70">
        <f t="shared" si="69"/>
        <v>1380.38364</v>
      </c>
      <c r="O376" s="71">
        <f t="shared" ref="O376:O439" si="70">N376/$N$472</f>
        <v>6.1632859652485845E-4</v>
      </c>
      <c r="P376" s="12"/>
      <c r="Q376" s="49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</row>
    <row r="377" spans="1:36" ht="20.100000000000001" customHeight="1" x14ac:dyDescent="0.25">
      <c r="A377" s="85"/>
      <c r="B377" s="67" t="s">
        <v>968</v>
      </c>
      <c r="C377" s="67" t="s">
        <v>969</v>
      </c>
      <c r="D377" s="67" t="s">
        <v>24</v>
      </c>
      <c r="E377" s="68" t="s">
        <v>970</v>
      </c>
      <c r="F377" s="67" t="s">
        <v>380</v>
      </c>
      <c r="G377" s="69">
        <v>1</v>
      </c>
      <c r="H377" s="70">
        <v>77.28</v>
      </c>
      <c r="I377" s="70">
        <f>42.13*1.22</f>
        <v>51.398600000000002</v>
      </c>
      <c r="J377" s="70">
        <f>35.15*1.22</f>
        <v>42.882999999999996</v>
      </c>
      <c r="K377" s="70">
        <f t="shared" si="66"/>
        <v>94.281599999999997</v>
      </c>
      <c r="L377" s="70">
        <f t="shared" si="67"/>
        <v>51.398600000000002</v>
      </c>
      <c r="M377" s="70">
        <f t="shared" si="68"/>
        <v>42.882999999999996</v>
      </c>
      <c r="N377" s="70">
        <f t="shared" si="69"/>
        <v>94.281599999999997</v>
      </c>
      <c r="O377" s="71">
        <f t="shared" si="70"/>
        <v>4.2095867063534668E-5</v>
      </c>
      <c r="P377" s="12"/>
      <c r="Q377" s="49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</row>
    <row r="378" spans="1:36" ht="33" customHeight="1" x14ac:dyDescent="0.25">
      <c r="A378" s="85"/>
      <c r="B378" s="67" t="s">
        <v>971</v>
      </c>
      <c r="C378" s="67" t="s">
        <v>805</v>
      </c>
      <c r="D378" s="67" t="s">
        <v>24</v>
      </c>
      <c r="E378" s="68" t="s">
        <v>806</v>
      </c>
      <c r="F378" s="67" t="s">
        <v>327</v>
      </c>
      <c r="G378" s="69">
        <v>29</v>
      </c>
      <c r="H378" s="70">
        <v>239.11</v>
      </c>
      <c r="I378" s="70">
        <f>16.79*1.22</f>
        <v>20.483799999999999</v>
      </c>
      <c r="J378" s="70">
        <f>222.32*1.22</f>
        <v>271.23039999999997</v>
      </c>
      <c r="K378" s="70">
        <f t="shared" si="66"/>
        <v>291.71419999999995</v>
      </c>
      <c r="L378" s="70">
        <f t="shared" si="67"/>
        <v>594.03019999999992</v>
      </c>
      <c r="M378" s="70">
        <f t="shared" si="68"/>
        <v>7865.681599999999</v>
      </c>
      <c r="N378" s="70">
        <f t="shared" si="69"/>
        <v>8459.7117999999991</v>
      </c>
      <c r="O378" s="71">
        <f t="shared" si="70"/>
        <v>3.7771834942196096E-3</v>
      </c>
      <c r="P378" s="12"/>
      <c r="Q378" s="49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</row>
    <row r="379" spans="1:36" ht="33" customHeight="1" x14ac:dyDescent="0.25">
      <c r="A379" s="85"/>
      <c r="B379" s="67" t="s">
        <v>972</v>
      </c>
      <c r="C379" s="67" t="s">
        <v>973</v>
      </c>
      <c r="D379" s="67" t="s">
        <v>24</v>
      </c>
      <c r="E379" s="68" t="s">
        <v>974</v>
      </c>
      <c r="F379" s="67" t="s">
        <v>327</v>
      </c>
      <c r="G379" s="69">
        <v>92</v>
      </c>
      <c r="H379" s="70">
        <v>10.43</v>
      </c>
      <c r="I379" s="70">
        <f>4.29*1.22</f>
        <v>5.2337999999999996</v>
      </c>
      <c r="J379" s="70">
        <f>6.14*1.22</f>
        <v>7.4907999999999992</v>
      </c>
      <c r="K379" s="86" t="s">
        <v>975</v>
      </c>
      <c r="L379" s="70">
        <f t="shared" si="67"/>
        <v>481.50959999999998</v>
      </c>
      <c r="M379" s="70">
        <f t="shared" si="68"/>
        <v>689.15359999999998</v>
      </c>
      <c r="N379" s="70">
        <f t="shared" si="69"/>
        <v>1170.6632</v>
      </c>
      <c r="O379" s="71">
        <f t="shared" si="70"/>
        <v>5.2269034937222215E-4</v>
      </c>
      <c r="P379" s="12"/>
      <c r="Q379" s="49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</row>
    <row r="380" spans="1:36" ht="20.100000000000001" customHeight="1" x14ac:dyDescent="0.25">
      <c r="A380" s="85"/>
      <c r="B380" s="67" t="s">
        <v>976</v>
      </c>
      <c r="C380" s="67" t="s">
        <v>977</v>
      </c>
      <c r="D380" s="67" t="s">
        <v>38</v>
      </c>
      <c r="E380" s="68" t="s">
        <v>978</v>
      </c>
      <c r="F380" s="67" t="s">
        <v>40</v>
      </c>
      <c r="G380" s="69">
        <v>2</v>
      </c>
      <c r="H380" s="70">
        <v>48.98</v>
      </c>
      <c r="I380" s="70">
        <f>13.98*1.22</f>
        <v>17.055600000000002</v>
      </c>
      <c r="J380" s="70">
        <f>35*1.22</f>
        <v>42.699999999999996</v>
      </c>
      <c r="K380" s="70">
        <f t="shared" ref="K380:K384" si="71">I380+J380</f>
        <v>59.755600000000001</v>
      </c>
      <c r="L380" s="70">
        <f t="shared" si="67"/>
        <v>34.111200000000004</v>
      </c>
      <c r="M380" s="70">
        <f t="shared" si="68"/>
        <v>85.399999999999991</v>
      </c>
      <c r="N380" s="70">
        <f t="shared" si="69"/>
        <v>119.5112</v>
      </c>
      <c r="O380" s="71">
        <f t="shared" si="70"/>
        <v>5.3360651365733131E-5</v>
      </c>
      <c r="P380" s="12"/>
      <c r="Q380" s="49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</row>
    <row r="381" spans="1:36" ht="20.100000000000001" customHeight="1" x14ac:dyDescent="0.25">
      <c r="A381" s="85"/>
      <c r="B381" s="67" t="s">
        <v>979</v>
      </c>
      <c r="C381" s="67" t="s">
        <v>980</v>
      </c>
      <c r="D381" s="67" t="s">
        <v>38</v>
      </c>
      <c r="E381" s="68" t="s">
        <v>981</v>
      </c>
      <c r="F381" s="67" t="s">
        <v>40</v>
      </c>
      <c r="G381" s="69">
        <v>1</v>
      </c>
      <c r="H381" s="70">
        <v>3341</v>
      </c>
      <c r="I381" s="70">
        <f>214.5*1.22</f>
        <v>261.69</v>
      </c>
      <c r="J381" s="70">
        <f>3126.5*1.22</f>
        <v>3814.33</v>
      </c>
      <c r="K381" s="70">
        <f t="shared" si="71"/>
        <v>4076.02</v>
      </c>
      <c r="L381" s="70">
        <f t="shared" si="67"/>
        <v>261.69</v>
      </c>
      <c r="M381" s="70">
        <f t="shared" si="68"/>
        <v>3814.33</v>
      </c>
      <c r="N381" s="70">
        <f t="shared" si="69"/>
        <v>4076.02</v>
      </c>
      <c r="O381" s="71">
        <f t="shared" si="70"/>
        <v>1.8199054329615598E-3</v>
      </c>
      <c r="P381" s="12"/>
      <c r="Q381" s="49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</row>
    <row r="382" spans="1:36" ht="33" customHeight="1" x14ac:dyDescent="0.25">
      <c r="A382" s="85"/>
      <c r="B382" s="67" t="s">
        <v>982</v>
      </c>
      <c r="C382" s="67">
        <v>101527</v>
      </c>
      <c r="D382" s="67" t="s">
        <v>38</v>
      </c>
      <c r="E382" s="68" t="s">
        <v>983</v>
      </c>
      <c r="F382" s="67" t="s">
        <v>40</v>
      </c>
      <c r="G382" s="69">
        <v>1</v>
      </c>
      <c r="H382" s="70">
        <v>153.51</v>
      </c>
      <c r="I382" s="70">
        <f>17.56*1.22</f>
        <v>21.423199999999998</v>
      </c>
      <c r="J382" s="70">
        <f>135.95*1.22</f>
        <v>165.85899999999998</v>
      </c>
      <c r="K382" s="70">
        <f t="shared" si="71"/>
        <v>187.28219999999999</v>
      </c>
      <c r="L382" s="70">
        <f t="shared" si="67"/>
        <v>21.423199999999998</v>
      </c>
      <c r="M382" s="70">
        <f t="shared" si="68"/>
        <v>165.85899999999998</v>
      </c>
      <c r="N382" s="70">
        <f t="shared" si="69"/>
        <v>187.28219999999999</v>
      </c>
      <c r="O382" s="71">
        <f t="shared" si="70"/>
        <v>8.3619779411532182E-5</v>
      </c>
      <c r="P382" s="12"/>
      <c r="Q382" s="49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</row>
    <row r="383" spans="1:36" ht="33" customHeight="1" x14ac:dyDescent="0.25">
      <c r="A383" s="85"/>
      <c r="B383" s="67" t="s">
        <v>984</v>
      </c>
      <c r="C383" s="67">
        <v>101521</v>
      </c>
      <c r="D383" s="67" t="s">
        <v>38</v>
      </c>
      <c r="E383" s="68" t="s">
        <v>985</v>
      </c>
      <c r="F383" s="67" t="s">
        <v>40</v>
      </c>
      <c r="G383" s="69">
        <v>1</v>
      </c>
      <c r="H383" s="70">
        <v>563.46</v>
      </c>
      <c r="I383" s="70">
        <f>17.56*1.22</f>
        <v>21.423199999999998</v>
      </c>
      <c r="J383" s="70">
        <f>545.9*1.22</f>
        <v>665.99799999999993</v>
      </c>
      <c r="K383" s="70">
        <f t="shared" si="71"/>
        <v>687.42119999999989</v>
      </c>
      <c r="L383" s="70">
        <f t="shared" si="67"/>
        <v>21.423199999999998</v>
      </c>
      <c r="M383" s="70">
        <f t="shared" si="68"/>
        <v>665.99799999999993</v>
      </c>
      <c r="N383" s="70">
        <f t="shared" si="69"/>
        <v>687.42119999999989</v>
      </c>
      <c r="O383" s="71">
        <f t="shared" si="70"/>
        <v>3.0692724192053886E-4</v>
      </c>
      <c r="P383" s="12"/>
      <c r="Q383" s="49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</row>
    <row r="384" spans="1:36" ht="33" customHeight="1" x14ac:dyDescent="0.25">
      <c r="A384" s="85"/>
      <c r="B384" s="67" t="s">
        <v>986</v>
      </c>
      <c r="C384" s="67">
        <v>112412</v>
      </c>
      <c r="D384" s="67" t="s">
        <v>38</v>
      </c>
      <c r="E384" s="68" t="s">
        <v>987</v>
      </c>
      <c r="F384" s="67" t="s">
        <v>40</v>
      </c>
      <c r="G384" s="69">
        <v>2</v>
      </c>
      <c r="H384" s="70">
        <v>928.47</v>
      </c>
      <c r="I384" s="70">
        <f>17.56*1.22</f>
        <v>21.423199999999998</v>
      </c>
      <c r="J384" s="70">
        <f>910.91*1.22</f>
        <v>1111.3101999999999</v>
      </c>
      <c r="K384" s="70">
        <f t="shared" si="71"/>
        <v>1132.7333999999998</v>
      </c>
      <c r="L384" s="70">
        <f t="shared" si="67"/>
        <v>42.846399999999996</v>
      </c>
      <c r="M384" s="70">
        <f t="shared" si="68"/>
        <v>2222.6203999999998</v>
      </c>
      <c r="N384" s="70">
        <f t="shared" si="69"/>
        <v>2265.4667999999997</v>
      </c>
      <c r="O384" s="71">
        <f t="shared" si="70"/>
        <v>1.0115100852091106E-3</v>
      </c>
      <c r="P384" s="12"/>
      <c r="Q384" s="49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</row>
    <row r="385" spans="1:36" ht="20.100000000000001" customHeight="1" x14ac:dyDescent="0.25">
      <c r="A385" s="85"/>
      <c r="B385" s="59" t="s">
        <v>988</v>
      </c>
      <c r="C385" s="59"/>
      <c r="D385" s="59"/>
      <c r="E385" s="60" t="s">
        <v>989</v>
      </c>
      <c r="F385" s="60"/>
      <c r="G385" s="61"/>
      <c r="H385" s="62"/>
      <c r="I385" s="60"/>
      <c r="J385" s="60"/>
      <c r="K385" s="60"/>
      <c r="L385" s="60"/>
      <c r="M385" s="60"/>
      <c r="N385" s="63">
        <f>SUM(N386:N390)</f>
        <v>24592.747799999997</v>
      </c>
      <c r="O385" s="64">
        <f>N385/$N$472</f>
        <v>1.0980435653572219E-2</v>
      </c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</row>
    <row r="386" spans="1:36" ht="33" customHeight="1" x14ac:dyDescent="0.25">
      <c r="A386" s="85"/>
      <c r="B386" s="67" t="s">
        <v>990</v>
      </c>
      <c r="C386" s="67" t="s">
        <v>991</v>
      </c>
      <c r="D386" s="67" t="s">
        <v>38</v>
      </c>
      <c r="E386" s="68" t="s">
        <v>992</v>
      </c>
      <c r="F386" s="67" t="s">
        <v>40</v>
      </c>
      <c r="G386" s="69">
        <v>18</v>
      </c>
      <c r="H386" s="70">
        <v>115.57</v>
      </c>
      <c r="I386" s="70">
        <f>24.34*1.22</f>
        <v>29.694800000000001</v>
      </c>
      <c r="J386" s="70">
        <f>91.23*1.22</f>
        <v>111.3006</v>
      </c>
      <c r="K386" s="70">
        <f t="shared" ref="K386:K390" si="72">I386+J386</f>
        <v>140.99540000000002</v>
      </c>
      <c r="L386" s="70">
        <f t="shared" ref="L386:L390" si="73">G386*I386</f>
        <v>534.50639999999999</v>
      </c>
      <c r="M386" s="70">
        <f t="shared" ref="M386:M390" si="74">G386*J386</f>
        <v>2003.4108000000001</v>
      </c>
      <c r="N386" s="70">
        <f t="shared" ref="N386:N390" si="75">L386+M386</f>
        <v>2537.9171999999999</v>
      </c>
      <c r="O386" s="71">
        <f t="shared" si="70"/>
        <v>1.1331566824222131E-3</v>
      </c>
      <c r="P386" s="12"/>
      <c r="Q386" s="49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</row>
    <row r="387" spans="1:36" ht="33" customHeight="1" x14ac:dyDescent="0.25">
      <c r="A387" s="85"/>
      <c r="B387" s="67" t="s">
        <v>993</v>
      </c>
      <c r="C387" s="67" t="s">
        <v>994</v>
      </c>
      <c r="D387" s="67" t="s">
        <v>24</v>
      </c>
      <c r="E387" s="68" t="s">
        <v>995</v>
      </c>
      <c r="F387" s="67" t="s">
        <v>327</v>
      </c>
      <c r="G387" s="69">
        <v>25</v>
      </c>
      <c r="H387" s="70">
        <v>325.17</v>
      </c>
      <c r="I387" s="70">
        <f>21.07*1.22</f>
        <v>25.705400000000001</v>
      </c>
      <c r="J387" s="70">
        <f>304.18*1.22</f>
        <v>371.09960000000001</v>
      </c>
      <c r="K387" s="70">
        <f t="shared" si="72"/>
        <v>396.80500000000001</v>
      </c>
      <c r="L387" s="70">
        <f t="shared" si="73"/>
        <v>642.63499999999999</v>
      </c>
      <c r="M387" s="70">
        <f t="shared" si="74"/>
        <v>9277.49</v>
      </c>
      <c r="N387" s="70">
        <f t="shared" si="75"/>
        <v>9920.125</v>
      </c>
      <c r="O387" s="71">
        <f t="shared" si="70"/>
        <v>4.42924455305857E-3</v>
      </c>
      <c r="P387" s="12"/>
      <c r="Q387" s="49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</row>
    <row r="388" spans="1:36" ht="33" customHeight="1" x14ac:dyDescent="0.25">
      <c r="A388" s="85"/>
      <c r="B388" s="67" t="s">
        <v>996</v>
      </c>
      <c r="C388" s="67" t="s">
        <v>997</v>
      </c>
      <c r="D388" s="67" t="s">
        <v>24</v>
      </c>
      <c r="E388" s="68" t="s">
        <v>998</v>
      </c>
      <c r="F388" s="67" t="s">
        <v>40</v>
      </c>
      <c r="G388" s="69">
        <v>10</v>
      </c>
      <c r="H388" s="70">
        <v>106.16</v>
      </c>
      <c r="I388" s="70">
        <f>21.07*1.22</f>
        <v>25.705400000000001</v>
      </c>
      <c r="J388" s="70">
        <f>85.12*1.22</f>
        <v>103.8464</v>
      </c>
      <c r="K388" s="70">
        <f t="shared" si="72"/>
        <v>129.55180000000001</v>
      </c>
      <c r="L388" s="70">
        <f t="shared" si="73"/>
        <v>257.05400000000003</v>
      </c>
      <c r="M388" s="70">
        <f t="shared" si="74"/>
        <v>1038.4639999999999</v>
      </c>
      <c r="N388" s="70">
        <f t="shared" si="75"/>
        <v>1295.518</v>
      </c>
      <c r="O388" s="71">
        <f t="shared" si="70"/>
        <v>5.7843686897991026E-4</v>
      </c>
      <c r="P388" s="12"/>
      <c r="Q388" s="49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</row>
    <row r="389" spans="1:36" ht="33" customHeight="1" x14ac:dyDescent="0.25">
      <c r="A389" s="85"/>
      <c r="B389" s="67" t="s">
        <v>999</v>
      </c>
      <c r="C389" s="67" t="s">
        <v>1000</v>
      </c>
      <c r="D389" s="67" t="s">
        <v>24</v>
      </c>
      <c r="E389" s="68" t="s">
        <v>1001</v>
      </c>
      <c r="F389" s="67" t="s">
        <v>327</v>
      </c>
      <c r="G389" s="69">
        <v>50</v>
      </c>
      <c r="H389" s="70">
        <v>163.6</v>
      </c>
      <c r="I389" s="70">
        <f>21.07*1.22</f>
        <v>25.705400000000001</v>
      </c>
      <c r="J389" s="70">
        <f>142.53*1.22</f>
        <v>173.88659999999999</v>
      </c>
      <c r="K389" s="70">
        <f t="shared" si="72"/>
        <v>199.59199999999998</v>
      </c>
      <c r="L389" s="70">
        <f t="shared" si="73"/>
        <v>1285.27</v>
      </c>
      <c r="M389" s="70">
        <f t="shared" si="74"/>
        <v>8694.33</v>
      </c>
      <c r="N389" s="70">
        <f t="shared" si="75"/>
        <v>9979.6</v>
      </c>
      <c r="O389" s="71">
        <f t="shared" si="70"/>
        <v>4.4557995934227951E-3</v>
      </c>
      <c r="P389" s="12"/>
      <c r="Q389" s="49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</row>
    <row r="390" spans="1:36" ht="33" customHeight="1" x14ac:dyDescent="0.25">
      <c r="A390" s="85"/>
      <c r="B390" s="67" t="s">
        <v>1002</v>
      </c>
      <c r="C390" s="67" t="s">
        <v>1003</v>
      </c>
      <c r="D390" s="67" t="s">
        <v>24</v>
      </c>
      <c r="E390" s="68" t="s">
        <v>1004</v>
      </c>
      <c r="F390" s="67" t="s">
        <v>40</v>
      </c>
      <c r="G390" s="69">
        <v>6</v>
      </c>
      <c r="H390" s="70">
        <v>117.43</v>
      </c>
      <c r="I390" s="70">
        <f>37.05*1.22</f>
        <v>45.200999999999993</v>
      </c>
      <c r="J390" s="70">
        <f>80.38*1.22</f>
        <v>98.063599999999994</v>
      </c>
      <c r="K390" s="70">
        <f t="shared" si="72"/>
        <v>143.26459999999997</v>
      </c>
      <c r="L390" s="70">
        <f t="shared" si="73"/>
        <v>271.20599999999996</v>
      </c>
      <c r="M390" s="70">
        <f t="shared" si="74"/>
        <v>588.38159999999993</v>
      </c>
      <c r="N390" s="70">
        <f t="shared" si="75"/>
        <v>859.58759999999984</v>
      </c>
      <c r="O390" s="71">
        <f t="shared" si="70"/>
        <v>3.8379795568873254E-4</v>
      </c>
      <c r="P390" s="12"/>
      <c r="Q390" s="49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</row>
    <row r="391" spans="1:36" ht="20.100000000000001" customHeight="1" x14ac:dyDescent="0.25">
      <c r="A391" s="85"/>
      <c r="B391" s="59" t="s">
        <v>1005</v>
      </c>
      <c r="C391" s="59"/>
      <c r="D391" s="59"/>
      <c r="E391" s="60" t="s">
        <v>1006</v>
      </c>
      <c r="F391" s="60"/>
      <c r="G391" s="61"/>
      <c r="H391" s="62"/>
      <c r="I391" s="60"/>
      <c r="J391" s="60"/>
      <c r="K391" s="60"/>
      <c r="L391" s="60"/>
      <c r="M391" s="60"/>
      <c r="N391" s="63">
        <f>SUM(N392:N404)</f>
        <v>39661.480199999998</v>
      </c>
      <c r="O391" s="64">
        <f>N391/$N$472</f>
        <v>1.7708486046505493E-2</v>
      </c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</row>
    <row r="392" spans="1:36" ht="20.100000000000001" customHeight="1" x14ac:dyDescent="0.25">
      <c r="A392" s="85"/>
      <c r="B392" s="67" t="s">
        <v>1007</v>
      </c>
      <c r="C392" s="67" t="s">
        <v>1008</v>
      </c>
      <c r="D392" s="67" t="s">
        <v>24</v>
      </c>
      <c r="E392" s="68" t="s">
        <v>1009</v>
      </c>
      <c r="F392" s="67" t="s">
        <v>327</v>
      </c>
      <c r="G392" s="69">
        <v>1</v>
      </c>
      <c r="H392" s="70">
        <v>345.22</v>
      </c>
      <c r="I392" s="70">
        <f>52.67*1.22</f>
        <v>64.257400000000004</v>
      </c>
      <c r="J392" s="70">
        <f>292.55*1.22</f>
        <v>356.911</v>
      </c>
      <c r="K392" s="70">
        <f t="shared" ref="K392:K404" si="76">I392+J392</f>
        <v>421.16840000000002</v>
      </c>
      <c r="L392" s="70">
        <f t="shared" ref="L392:L404" si="77">G392*I392</f>
        <v>64.257400000000004</v>
      </c>
      <c r="M392" s="70">
        <f t="shared" ref="M392:M404" si="78">G392*J392</f>
        <v>356.911</v>
      </c>
      <c r="N392" s="70">
        <f t="shared" ref="N392:N404" si="79">L392+M392</f>
        <v>421.16840000000002</v>
      </c>
      <c r="O392" s="71">
        <f t="shared" si="70"/>
        <v>1.8804781609308281E-4</v>
      </c>
      <c r="P392" s="12"/>
      <c r="Q392" s="49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</row>
    <row r="393" spans="1:36" ht="33" customHeight="1" x14ac:dyDescent="0.25">
      <c r="A393" s="85"/>
      <c r="B393" s="67" t="s">
        <v>1010</v>
      </c>
      <c r="C393" s="67" t="s">
        <v>1011</v>
      </c>
      <c r="D393" s="67" t="s">
        <v>38</v>
      </c>
      <c r="E393" s="68" t="s">
        <v>1012</v>
      </c>
      <c r="F393" s="67" t="s">
        <v>40</v>
      </c>
      <c r="G393" s="69">
        <v>9</v>
      </c>
      <c r="H393" s="70">
        <v>1114.8</v>
      </c>
      <c r="I393" s="70">
        <f>298.74*1.22</f>
        <v>364.46280000000002</v>
      </c>
      <c r="J393" s="70">
        <f>816.06*1.22</f>
        <v>995.59319999999991</v>
      </c>
      <c r="K393" s="70">
        <f t="shared" si="76"/>
        <v>1360.056</v>
      </c>
      <c r="L393" s="70">
        <f t="shared" si="77"/>
        <v>3280.1652000000004</v>
      </c>
      <c r="M393" s="70">
        <f t="shared" si="78"/>
        <v>8960.3387999999995</v>
      </c>
      <c r="N393" s="70">
        <f t="shared" si="79"/>
        <v>12240.504000000001</v>
      </c>
      <c r="O393" s="71">
        <f t="shared" si="70"/>
        <v>5.4652724304070401E-3</v>
      </c>
      <c r="P393" s="12"/>
      <c r="Q393" s="49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</row>
    <row r="394" spans="1:36" ht="20.100000000000001" customHeight="1" x14ac:dyDescent="0.25">
      <c r="A394" s="85"/>
      <c r="B394" s="67" t="s">
        <v>1013</v>
      </c>
      <c r="C394" s="67" t="s">
        <v>1014</v>
      </c>
      <c r="D394" s="67" t="s">
        <v>38</v>
      </c>
      <c r="E394" s="68" t="s">
        <v>1015</v>
      </c>
      <c r="F394" s="67" t="s">
        <v>40</v>
      </c>
      <c r="G394" s="69">
        <v>9</v>
      </c>
      <c r="H394" s="70">
        <v>55.08</v>
      </c>
      <c r="I394" s="70">
        <f>7.41*1.22</f>
        <v>9.0402000000000005</v>
      </c>
      <c r="J394" s="70">
        <f>47.67*1.22</f>
        <v>58.157400000000003</v>
      </c>
      <c r="K394" s="70">
        <f t="shared" si="76"/>
        <v>67.197600000000008</v>
      </c>
      <c r="L394" s="70">
        <f t="shared" si="77"/>
        <v>81.361800000000002</v>
      </c>
      <c r="M394" s="70">
        <f t="shared" si="78"/>
        <v>523.41660000000002</v>
      </c>
      <c r="N394" s="70">
        <f t="shared" si="79"/>
        <v>604.77840000000003</v>
      </c>
      <c r="O394" s="71">
        <f t="shared" si="70"/>
        <v>2.7002799198674182E-4</v>
      </c>
      <c r="P394" s="12"/>
      <c r="Q394" s="49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</row>
    <row r="395" spans="1:36" ht="20.100000000000001" customHeight="1" x14ac:dyDescent="0.25">
      <c r="A395" s="85"/>
      <c r="B395" s="67" t="s">
        <v>1016</v>
      </c>
      <c r="C395" s="67" t="s">
        <v>1017</v>
      </c>
      <c r="D395" s="67" t="s">
        <v>38</v>
      </c>
      <c r="E395" s="68" t="s">
        <v>1018</v>
      </c>
      <c r="F395" s="67" t="s">
        <v>40</v>
      </c>
      <c r="G395" s="69">
        <v>9</v>
      </c>
      <c r="H395" s="70">
        <v>154.74</v>
      </c>
      <c r="I395" s="70">
        <f>22.74*1.22</f>
        <v>27.742799999999999</v>
      </c>
      <c r="J395" s="70">
        <f>132*1.22</f>
        <v>161.04</v>
      </c>
      <c r="K395" s="70">
        <f t="shared" si="76"/>
        <v>188.78279999999998</v>
      </c>
      <c r="L395" s="70">
        <f t="shared" si="77"/>
        <v>249.68519999999998</v>
      </c>
      <c r="M395" s="70">
        <f t="shared" si="78"/>
        <v>1449.36</v>
      </c>
      <c r="N395" s="70">
        <f t="shared" si="79"/>
        <v>1699.0451999999998</v>
      </c>
      <c r="O395" s="71">
        <f t="shared" si="70"/>
        <v>7.5860805156188131E-4</v>
      </c>
      <c r="P395" s="12"/>
      <c r="Q395" s="49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</row>
    <row r="396" spans="1:36" ht="20.100000000000001" customHeight="1" x14ac:dyDescent="0.25">
      <c r="A396" s="85"/>
      <c r="B396" s="67" t="s">
        <v>1019</v>
      </c>
      <c r="C396" s="67" t="s">
        <v>1020</v>
      </c>
      <c r="D396" s="67" t="s">
        <v>38</v>
      </c>
      <c r="E396" s="68" t="s">
        <v>1021</v>
      </c>
      <c r="F396" s="67" t="s">
        <v>40</v>
      </c>
      <c r="G396" s="69">
        <v>1</v>
      </c>
      <c r="H396" s="70">
        <v>147.05000000000001</v>
      </c>
      <c r="I396" s="70">
        <f>7.88*1.22</f>
        <v>9.6135999999999999</v>
      </c>
      <c r="J396" s="70">
        <f>139.17*1.22</f>
        <v>169.78739999999999</v>
      </c>
      <c r="K396" s="70">
        <f t="shared" si="76"/>
        <v>179.40099999999998</v>
      </c>
      <c r="L396" s="70">
        <f t="shared" si="77"/>
        <v>9.6135999999999999</v>
      </c>
      <c r="M396" s="70">
        <f t="shared" si="78"/>
        <v>169.78739999999999</v>
      </c>
      <c r="N396" s="70">
        <f t="shared" si="79"/>
        <v>179.40099999999998</v>
      </c>
      <c r="O396" s="71">
        <f t="shared" si="70"/>
        <v>8.0100896114036906E-5</v>
      </c>
      <c r="P396" s="12"/>
      <c r="Q396" s="49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</row>
    <row r="397" spans="1:36" ht="20.100000000000001" customHeight="1" x14ac:dyDescent="0.25">
      <c r="A397" s="85"/>
      <c r="B397" s="67" t="s">
        <v>1022</v>
      </c>
      <c r="C397" s="67" t="s">
        <v>1023</v>
      </c>
      <c r="D397" s="67" t="s">
        <v>38</v>
      </c>
      <c r="E397" s="68" t="s">
        <v>1024</v>
      </c>
      <c r="F397" s="67" t="s">
        <v>40</v>
      </c>
      <c r="G397" s="69">
        <v>2</v>
      </c>
      <c r="H397" s="70">
        <v>175.8</v>
      </c>
      <c r="I397" s="70">
        <f>9.75*1.22</f>
        <v>11.895</v>
      </c>
      <c r="J397" s="70">
        <f>166.05*1.22</f>
        <v>202.58100000000002</v>
      </c>
      <c r="K397" s="70">
        <f t="shared" si="76"/>
        <v>214.47600000000003</v>
      </c>
      <c r="L397" s="70">
        <f t="shared" si="77"/>
        <v>23.79</v>
      </c>
      <c r="M397" s="70">
        <f t="shared" si="78"/>
        <v>405.16200000000003</v>
      </c>
      <c r="N397" s="70">
        <f t="shared" si="79"/>
        <v>428.95200000000006</v>
      </c>
      <c r="O397" s="71">
        <f t="shared" si="70"/>
        <v>1.9152312188844191E-4</v>
      </c>
      <c r="P397" s="12"/>
      <c r="Q397" s="49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</row>
    <row r="398" spans="1:36" ht="20.100000000000001" customHeight="1" x14ac:dyDescent="0.25">
      <c r="A398" s="85"/>
      <c r="B398" s="67" t="s">
        <v>1025</v>
      </c>
      <c r="C398" s="67" t="s">
        <v>1026</v>
      </c>
      <c r="D398" s="67" t="s">
        <v>38</v>
      </c>
      <c r="E398" s="68" t="s">
        <v>1027</v>
      </c>
      <c r="F398" s="67" t="s">
        <v>40</v>
      </c>
      <c r="G398" s="69">
        <v>24</v>
      </c>
      <c r="H398" s="70">
        <v>31.84</v>
      </c>
      <c r="I398" s="70">
        <f>11.16*1.22</f>
        <v>13.6152</v>
      </c>
      <c r="J398" s="70">
        <f>20.68*1.22</f>
        <v>25.229599999999998</v>
      </c>
      <c r="K398" s="70">
        <f t="shared" si="76"/>
        <v>38.844799999999999</v>
      </c>
      <c r="L398" s="70">
        <f t="shared" si="77"/>
        <v>326.76479999999998</v>
      </c>
      <c r="M398" s="70">
        <f t="shared" si="78"/>
        <v>605.51039999999989</v>
      </c>
      <c r="N398" s="70">
        <f t="shared" si="79"/>
        <v>932.27519999999981</v>
      </c>
      <c r="O398" s="71">
        <f t="shared" si="70"/>
        <v>4.1625230040464087E-4</v>
      </c>
      <c r="P398" s="12"/>
      <c r="Q398" s="49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</row>
    <row r="399" spans="1:36" ht="20.100000000000001" customHeight="1" x14ac:dyDescent="0.25">
      <c r="A399" s="85"/>
      <c r="B399" s="67" t="s">
        <v>1028</v>
      </c>
      <c r="C399" s="67" t="s">
        <v>1029</v>
      </c>
      <c r="D399" s="67" t="s">
        <v>38</v>
      </c>
      <c r="E399" s="68" t="s">
        <v>1030</v>
      </c>
      <c r="F399" s="67" t="s">
        <v>40</v>
      </c>
      <c r="G399" s="69">
        <v>1</v>
      </c>
      <c r="H399" s="70">
        <v>152.07</v>
      </c>
      <c r="I399" s="70">
        <f>69.23*1.22</f>
        <v>84.460599999999999</v>
      </c>
      <c r="J399" s="70">
        <f>82.84*1.22</f>
        <v>101.06480000000001</v>
      </c>
      <c r="K399" s="70">
        <f t="shared" si="76"/>
        <v>185.52539999999999</v>
      </c>
      <c r="L399" s="70">
        <f t="shared" si="77"/>
        <v>84.460599999999999</v>
      </c>
      <c r="M399" s="70">
        <f t="shared" si="78"/>
        <v>101.06480000000001</v>
      </c>
      <c r="N399" s="70">
        <f t="shared" si="79"/>
        <v>185.52539999999999</v>
      </c>
      <c r="O399" s="71">
        <f t="shared" si="70"/>
        <v>8.2835384373081217E-5</v>
      </c>
      <c r="P399" s="12"/>
      <c r="Q399" s="49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</row>
    <row r="400" spans="1:36" ht="20.100000000000001" customHeight="1" x14ac:dyDescent="0.25">
      <c r="A400" s="85"/>
      <c r="B400" s="67" t="s">
        <v>1031</v>
      </c>
      <c r="C400" s="67" t="s">
        <v>1032</v>
      </c>
      <c r="D400" s="67" t="s">
        <v>38</v>
      </c>
      <c r="E400" s="68" t="s">
        <v>1033</v>
      </c>
      <c r="F400" s="67" t="s">
        <v>40</v>
      </c>
      <c r="G400" s="69">
        <v>1</v>
      </c>
      <c r="H400" s="70">
        <v>35.68</v>
      </c>
      <c r="I400" s="70">
        <f>21.56*1.22</f>
        <v>26.303199999999997</v>
      </c>
      <c r="J400" s="70">
        <f>14.12*1.22</f>
        <v>17.226399999999998</v>
      </c>
      <c r="K400" s="70">
        <f t="shared" si="76"/>
        <v>43.529599999999995</v>
      </c>
      <c r="L400" s="70">
        <f t="shared" si="77"/>
        <v>26.303199999999997</v>
      </c>
      <c r="M400" s="70">
        <f t="shared" si="78"/>
        <v>17.226399999999998</v>
      </c>
      <c r="N400" s="70">
        <f t="shared" si="79"/>
        <v>43.529599999999995</v>
      </c>
      <c r="O400" s="71">
        <f t="shared" si="70"/>
        <v>1.9435565952729254E-5</v>
      </c>
      <c r="P400" s="12"/>
      <c r="Q400" s="49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</row>
    <row r="401" spans="1:36" ht="20.100000000000001" customHeight="1" x14ac:dyDescent="0.25">
      <c r="A401" s="85"/>
      <c r="B401" s="67" t="s">
        <v>1034</v>
      </c>
      <c r="C401" s="67" t="s">
        <v>1035</v>
      </c>
      <c r="D401" s="67" t="s">
        <v>24</v>
      </c>
      <c r="E401" s="68" t="s">
        <v>1036</v>
      </c>
      <c r="F401" s="67" t="s">
        <v>73</v>
      </c>
      <c r="G401" s="69">
        <v>265</v>
      </c>
      <c r="H401" s="70">
        <v>41.44</v>
      </c>
      <c r="I401" s="70">
        <f>7.9*1.22</f>
        <v>9.6379999999999999</v>
      </c>
      <c r="J401" s="70">
        <f>33.54*1.22</f>
        <v>40.918799999999997</v>
      </c>
      <c r="K401" s="70">
        <f t="shared" si="76"/>
        <v>50.556799999999996</v>
      </c>
      <c r="L401" s="70">
        <f t="shared" si="77"/>
        <v>2554.0700000000002</v>
      </c>
      <c r="M401" s="70">
        <f t="shared" si="78"/>
        <v>10843.482</v>
      </c>
      <c r="N401" s="70">
        <f t="shared" si="79"/>
        <v>13397.552</v>
      </c>
      <c r="O401" s="71">
        <f t="shared" si="70"/>
        <v>5.9818837182312673E-3</v>
      </c>
      <c r="P401" s="12"/>
      <c r="Q401" s="49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</row>
    <row r="402" spans="1:36" ht="20.100000000000001" customHeight="1" x14ac:dyDescent="0.25">
      <c r="A402" s="85"/>
      <c r="B402" s="67" t="s">
        <v>1037</v>
      </c>
      <c r="C402" s="67" t="s">
        <v>1038</v>
      </c>
      <c r="D402" s="67" t="s">
        <v>24</v>
      </c>
      <c r="E402" s="68" t="s">
        <v>1039</v>
      </c>
      <c r="F402" s="67" t="s">
        <v>73</v>
      </c>
      <c r="G402" s="69">
        <v>120</v>
      </c>
      <c r="H402" s="70">
        <v>58.69</v>
      </c>
      <c r="I402" s="70">
        <f>10.54*1.22</f>
        <v>12.858799999999999</v>
      </c>
      <c r="J402" s="70">
        <f>48.15*1.22</f>
        <v>58.742999999999995</v>
      </c>
      <c r="K402" s="70">
        <f t="shared" si="76"/>
        <v>71.601799999999997</v>
      </c>
      <c r="L402" s="70">
        <f t="shared" si="77"/>
        <v>1543.0559999999998</v>
      </c>
      <c r="M402" s="70">
        <f t="shared" si="78"/>
        <v>7049.16</v>
      </c>
      <c r="N402" s="70">
        <f t="shared" si="79"/>
        <v>8592.2160000000003</v>
      </c>
      <c r="O402" s="71">
        <f t="shared" si="70"/>
        <v>3.8363454005572203E-3</v>
      </c>
      <c r="P402" s="12"/>
      <c r="Q402" s="49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</row>
    <row r="403" spans="1:36" ht="33" customHeight="1" x14ac:dyDescent="0.25">
      <c r="A403" s="85"/>
      <c r="B403" s="67" t="s">
        <v>1040</v>
      </c>
      <c r="C403" s="67" t="s">
        <v>1041</v>
      </c>
      <c r="D403" s="67" t="s">
        <v>38</v>
      </c>
      <c r="E403" s="68" t="s">
        <v>1042</v>
      </c>
      <c r="F403" s="67" t="s">
        <v>40</v>
      </c>
      <c r="G403" s="69">
        <v>10</v>
      </c>
      <c r="H403" s="70">
        <v>72.36</v>
      </c>
      <c r="I403" s="70">
        <f>43.72*1.22</f>
        <v>53.3384</v>
      </c>
      <c r="J403" s="70">
        <f>28.64*1.22</f>
        <v>34.940800000000003</v>
      </c>
      <c r="K403" s="70">
        <f t="shared" si="76"/>
        <v>88.279200000000003</v>
      </c>
      <c r="L403" s="70">
        <f t="shared" si="77"/>
        <v>533.38400000000001</v>
      </c>
      <c r="M403" s="70">
        <f t="shared" si="78"/>
        <v>349.40800000000002</v>
      </c>
      <c r="N403" s="70">
        <f t="shared" si="79"/>
        <v>882.79200000000003</v>
      </c>
      <c r="O403" s="71">
        <f t="shared" si="70"/>
        <v>3.9415850682160571E-4</v>
      </c>
      <c r="P403" s="12"/>
      <c r="Q403" s="49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</row>
    <row r="404" spans="1:36" ht="20.100000000000001" customHeight="1" x14ac:dyDescent="0.25">
      <c r="A404" s="85"/>
      <c r="B404" s="67" t="s">
        <v>1043</v>
      </c>
      <c r="C404" s="67" t="s">
        <v>1044</v>
      </c>
      <c r="D404" s="67" t="s">
        <v>38</v>
      </c>
      <c r="E404" s="68" t="s">
        <v>1045</v>
      </c>
      <c r="F404" s="67" t="s">
        <v>40</v>
      </c>
      <c r="G404" s="69">
        <v>5</v>
      </c>
      <c r="H404" s="70">
        <v>8.81</v>
      </c>
      <c r="I404" s="70">
        <f>2.31*1.22</f>
        <v>2.8182</v>
      </c>
      <c r="J404" s="70">
        <f>6.5*1.22</f>
        <v>7.93</v>
      </c>
      <c r="K404" s="70">
        <f t="shared" si="76"/>
        <v>10.748200000000001</v>
      </c>
      <c r="L404" s="70">
        <f t="shared" si="77"/>
        <v>14.091000000000001</v>
      </c>
      <c r="M404" s="70">
        <f t="shared" si="78"/>
        <v>39.65</v>
      </c>
      <c r="N404" s="70">
        <f t="shared" si="79"/>
        <v>53.741</v>
      </c>
      <c r="O404" s="71">
        <f t="shared" si="70"/>
        <v>2.3994862113725441E-5</v>
      </c>
      <c r="P404" s="12"/>
      <c r="Q404" s="49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</row>
    <row r="405" spans="1:36" ht="20.100000000000001" customHeight="1" x14ac:dyDescent="0.25">
      <c r="A405" s="85"/>
      <c r="B405" s="59">
        <v>17</v>
      </c>
      <c r="C405" s="59"/>
      <c r="D405" s="59"/>
      <c r="E405" s="60" t="s">
        <v>1046</v>
      </c>
      <c r="F405" s="60"/>
      <c r="G405" s="61"/>
      <c r="H405" s="62"/>
      <c r="I405" s="60"/>
      <c r="J405" s="60"/>
      <c r="K405" s="60"/>
      <c r="L405" s="60"/>
      <c r="M405" s="60"/>
      <c r="N405" s="63">
        <f>N406+N417</f>
        <v>65671.636199999994</v>
      </c>
      <c r="O405" s="64">
        <f>N405/$N$472</f>
        <v>2.9321781422037927E-2</v>
      </c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</row>
    <row r="406" spans="1:36" ht="20.100000000000001" customHeight="1" x14ac:dyDescent="0.25">
      <c r="A406" s="85"/>
      <c r="B406" s="59" t="s">
        <v>1047</v>
      </c>
      <c r="C406" s="59"/>
      <c r="D406" s="59"/>
      <c r="E406" s="60" t="s">
        <v>814</v>
      </c>
      <c r="F406" s="60"/>
      <c r="G406" s="61"/>
      <c r="H406" s="62"/>
      <c r="I406" s="60"/>
      <c r="J406" s="60"/>
      <c r="K406" s="60"/>
      <c r="L406" s="60"/>
      <c r="M406" s="60"/>
      <c r="N406" s="63">
        <f>SUM(N407:N416)</f>
        <v>62476.785599999996</v>
      </c>
      <c r="O406" s="64">
        <f>N406/$N$472</f>
        <v>2.7895310019924957E-2</v>
      </c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</row>
    <row r="407" spans="1:36" ht="33" customHeight="1" x14ac:dyDescent="0.25">
      <c r="A407" s="85"/>
      <c r="B407" s="67" t="s">
        <v>1048</v>
      </c>
      <c r="C407" s="67" t="s">
        <v>1049</v>
      </c>
      <c r="D407" s="67" t="s">
        <v>38</v>
      </c>
      <c r="E407" s="68" t="s">
        <v>1050</v>
      </c>
      <c r="F407" s="67" t="s">
        <v>73</v>
      </c>
      <c r="G407" s="69">
        <v>98</v>
      </c>
      <c r="H407" s="70">
        <v>32.14</v>
      </c>
      <c r="I407" s="70">
        <f>5.68*1.22</f>
        <v>6.9295999999999998</v>
      </c>
      <c r="J407" s="70">
        <f>55.18*1.22</f>
        <v>67.319599999999994</v>
      </c>
      <c r="K407" s="70">
        <f t="shared" ref="K407:K416" si="80">I407+J407</f>
        <v>74.249199999999988</v>
      </c>
      <c r="L407" s="70">
        <f t="shared" ref="L407:L416" si="81">G407*I407</f>
        <v>679.10079999999994</v>
      </c>
      <c r="M407" s="70">
        <f t="shared" ref="M407:M416" si="82">G407*J407</f>
        <v>6597.3207999999995</v>
      </c>
      <c r="N407" s="70">
        <f t="shared" ref="N407:N416" si="83">L407+M407</f>
        <v>7276.4215999999997</v>
      </c>
      <c r="O407" s="71">
        <f t="shared" si="70"/>
        <v>3.2488553055085214E-3</v>
      </c>
      <c r="P407" s="12"/>
      <c r="Q407" s="49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</row>
    <row r="408" spans="1:36" ht="33" customHeight="1" x14ac:dyDescent="0.25">
      <c r="A408" s="85"/>
      <c r="B408" s="67" t="s">
        <v>1051</v>
      </c>
      <c r="C408" s="67" t="s">
        <v>1052</v>
      </c>
      <c r="D408" s="67" t="s">
        <v>38</v>
      </c>
      <c r="E408" s="68" t="s">
        <v>1053</v>
      </c>
      <c r="F408" s="67" t="s">
        <v>73</v>
      </c>
      <c r="G408" s="69">
        <v>22</v>
      </c>
      <c r="H408" s="70">
        <v>48.77</v>
      </c>
      <c r="I408" s="70">
        <f>5.36*1.22</f>
        <v>6.5392000000000001</v>
      </c>
      <c r="J408" s="70">
        <f>43.41*1.22</f>
        <v>52.960199999999993</v>
      </c>
      <c r="K408" s="70">
        <f t="shared" si="80"/>
        <v>59.499399999999994</v>
      </c>
      <c r="L408" s="70">
        <f t="shared" si="81"/>
        <v>143.86240000000001</v>
      </c>
      <c r="M408" s="70">
        <f t="shared" si="82"/>
        <v>1165.1243999999999</v>
      </c>
      <c r="N408" s="70">
        <f t="shared" si="83"/>
        <v>1308.9867999999999</v>
      </c>
      <c r="O408" s="71">
        <f t="shared" si="70"/>
        <v>5.8445056427470089E-4</v>
      </c>
      <c r="P408" s="12"/>
      <c r="Q408" s="49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</row>
    <row r="409" spans="1:36" ht="33" customHeight="1" x14ac:dyDescent="0.25">
      <c r="A409" s="85"/>
      <c r="B409" s="67" t="s">
        <v>1054</v>
      </c>
      <c r="C409" s="67" t="s">
        <v>1055</v>
      </c>
      <c r="D409" s="67" t="s">
        <v>38</v>
      </c>
      <c r="E409" s="68" t="s">
        <v>1056</v>
      </c>
      <c r="F409" s="67" t="s">
        <v>73</v>
      </c>
      <c r="G409" s="69">
        <v>84</v>
      </c>
      <c r="H409" s="70">
        <v>60.86</v>
      </c>
      <c r="I409" s="70">
        <f>5.68*1.22</f>
        <v>6.9295999999999998</v>
      </c>
      <c r="J409" s="70">
        <f>55.18*1.22</f>
        <v>67.319599999999994</v>
      </c>
      <c r="K409" s="70">
        <f t="shared" si="80"/>
        <v>74.249199999999988</v>
      </c>
      <c r="L409" s="70">
        <f t="shared" si="81"/>
        <v>582.08640000000003</v>
      </c>
      <c r="M409" s="70">
        <f t="shared" si="82"/>
        <v>5654.8463999999994</v>
      </c>
      <c r="N409" s="70">
        <f t="shared" si="83"/>
        <v>6236.9327999999996</v>
      </c>
      <c r="O409" s="71">
        <f t="shared" si="70"/>
        <v>2.7847331190073042E-3</v>
      </c>
      <c r="P409" s="12"/>
      <c r="Q409" s="49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</row>
    <row r="410" spans="1:36" ht="33" customHeight="1" x14ac:dyDescent="0.25">
      <c r="A410" s="85"/>
      <c r="B410" s="67" t="s">
        <v>1057</v>
      </c>
      <c r="C410" s="67" t="s">
        <v>1058</v>
      </c>
      <c r="D410" s="67" t="s">
        <v>38</v>
      </c>
      <c r="E410" s="68" t="s">
        <v>1059</v>
      </c>
      <c r="F410" s="67" t="s">
        <v>73</v>
      </c>
      <c r="G410" s="69">
        <v>8</v>
      </c>
      <c r="H410" s="70">
        <v>67.59</v>
      </c>
      <c r="I410" s="70">
        <f>3.35*1.22</f>
        <v>4.0869999999999997</v>
      </c>
      <c r="J410" s="70">
        <f>64.24*1.22</f>
        <v>78.372799999999998</v>
      </c>
      <c r="K410" s="70">
        <f t="shared" si="80"/>
        <v>82.459800000000001</v>
      </c>
      <c r="L410" s="70">
        <f t="shared" si="81"/>
        <v>32.695999999999998</v>
      </c>
      <c r="M410" s="70">
        <f t="shared" si="82"/>
        <v>626.98239999999998</v>
      </c>
      <c r="N410" s="70">
        <f t="shared" si="83"/>
        <v>659.67840000000001</v>
      </c>
      <c r="O410" s="71">
        <f t="shared" si="70"/>
        <v>2.945403369383342E-4</v>
      </c>
      <c r="P410" s="12"/>
      <c r="Q410" s="49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</row>
    <row r="411" spans="1:36" ht="20.100000000000001" customHeight="1" x14ac:dyDescent="0.25">
      <c r="A411" s="85"/>
      <c r="B411" s="67" t="s">
        <v>1060</v>
      </c>
      <c r="C411" s="67" t="s">
        <v>1061</v>
      </c>
      <c r="D411" s="67" t="s">
        <v>24</v>
      </c>
      <c r="E411" s="68" t="s">
        <v>1062</v>
      </c>
      <c r="F411" s="67" t="s">
        <v>73</v>
      </c>
      <c r="G411" s="69">
        <v>128</v>
      </c>
      <c r="H411" s="70">
        <v>22.64</v>
      </c>
      <c r="I411" s="70">
        <f>6.32*1.22</f>
        <v>7.7103999999999999</v>
      </c>
      <c r="J411" s="70">
        <f>16.32*1.22</f>
        <v>19.910399999999999</v>
      </c>
      <c r="K411" s="70">
        <f t="shared" si="80"/>
        <v>27.620799999999999</v>
      </c>
      <c r="L411" s="70">
        <f t="shared" si="81"/>
        <v>986.93119999999999</v>
      </c>
      <c r="M411" s="70">
        <f t="shared" si="82"/>
        <v>2548.5311999999999</v>
      </c>
      <c r="N411" s="70">
        <f t="shared" si="83"/>
        <v>3535.4623999999999</v>
      </c>
      <c r="O411" s="71">
        <f t="shared" si="70"/>
        <v>1.5785514373804139E-3</v>
      </c>
      <c r="P411" s="12"/>
      <c r="Q411" s="49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</row>
    <row r="412" spans="1:36" ht="33" customHeight="1" x14ac:dyDescent="0.25">
      <c r="A412" s="85"/>
      <c r="B412" s="67" t="s">
        <v>1063</v>
      </c>
      <c r="C412" s="67" t="s">
        <v>1064</v>
      </c>
      <c r="D412" s="67" t="s">
        <v>24</v>
      </c>
      <c r="E412" s="68" t="s">
        <v>1065</v>
      </c>
      <c r="F412" s="67" t="s">
        <v>40</v>
      </c>
      <c r="G412" s="69">
        <v>16</v>
      </c>
      <c r="H412" s="70">
        <v>43.26</v>
      </c>
      <c r="I412" s="70">
        <f>14.26*1.22</f>
        <v>17.397199999999998</v>
      </c>
      <c r="J412" s="70">
        <f>29*1.22</f>
        <v>35.380000000000003</v>
      </c>
      <c r="K412" s="70">
        <f t="shared" si="80"/>
        <v>52.777200000000001</v>
      </c>
      <c r="L412" s="70">
        <f t="shared" si="81"/>
        <v>278.35519999999997</v>
      </c>
      <c r="M412" s="70">
        <f t="shared" si="82"/>
        <v>566.08000000000004</v>
      </c>
      <c r="N412" s="70">
        <f t="shared" si="83"/>
        <v>844.43520000000001</v>
      </c>
      <c r="O412" s="71">
        <f t="shared" si="70"/>
        <v>3.7703254848209315E-4</v>
      </c>
      <c r="P412" s="12"/>
      <c r="Q412" s="49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</row>
    <row r="413" spans="1:36" ht="20.100000000000001" customHeight="1" x14ac:dyDescent="0.25">
      <c r="A413" s="85"/>
      <c r="B413" s="67" t="s">
        <v>1066</v>
      </c>
      <c r="C413" s="67" t="s">
        <v>1067</v>
      </c>
      <c r="D413" s="67" t="s">
        <v>24</v>
      </c>
      <c r="E413" s="68" t="s">
        <v>1068</v>
      </c>
      <c r="F413" s="67" t="s">
        <v>89</v>
      </c>
      <c r="G413" s="69">
        <v>636</v>
      </c>
      <c r="H413" s="70">
        <v>52.17</v>
      </c>
      <c r="I413" s="70">
        <f>30.51*1.22</f>
        <v>37.222200000000001</v>
      </c>
      <c r="J413" s="70">
        <f>21.66*1.22</f>
        <v>26.4252</v>
      </c>
      <c r="K413" s="70">
        <f t="shared" si="80"/>
        <v>63.647400000000005</v>
      </c>
      <c r="L413" s="70">
        <f t="shared" si="81"/>
        <v>23673.319200000002</v>
      </c>
      <c r="M413" s="70">
        <f t="shared" si="82"/>
        <v>16806.427200000002</v>
      </c>
      <c r="N413" s="70">
        <f t="shared" si="83"/>
        <v>40479.746400000004</v>
      </c>
      <c r="O413" s="71">
        <f t="shared" si="70"/>
        <v>1.807383437722733E-2</v>
      </c>
      <c r="P413" s="12"/>
      <c r="Q413" s="49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</row>
    <row r="414" spans="1:36" ht="20.100000000000001" customHeight="1" x14ac:dyDescent="0.25">
      <c r="A414" s="85"/>
      <c r="B414" s="67" t="s">
        <v>1069</v>
      </c>
      <c r="C414" s="67" t="s">
        <v>1070</v>
      </c>
      <c r="D414" s="67" t="s">
        <v>24</v>
      </c>
      <c r="E414" s="68" t="s">
        <v>1071</v>
      </c>
      <c r="F414" s="67" t="s">
        <v>73</v>
      </c>
      <c r="G414" s="69">
        <v>24</v>
      </c>
      <c r="H414" s="70">
        <v>28.27</v>
      </c>
      <c r="I414" s="70">
        <f>14.16*1.22</f>
        <v>17.275199999999998</v>
      </c>
      <c r="J414" s="70">
        <f>14.11*1.22</f>
        <v>17.214199999999998</v>
      </c>
      <c r="K414" s="70">
        <f t="shared" si="80"/>
        <v>34.489399999999996</v>
      </c>
      <c r="L414" s="70">
        <f t="shared" si="81"/>
        <v>414.60479999999995</v>
      </c>
      <c r="M414" s="70">
        <f t="shared" si="82"/>
        <v>413.14079999999996</v>
      </c>
      <c r="N414" s="70">
        <f t="shared" si="83"/>
        <v>827.74559999999997</v>
      </c>
      <c r="O414" s="71">
        <f t="shared" si="70"/>
        <v>3.6958079561680903E-4</v>
      </c>
      <c r="P414" s="12"/>
      <c r="Q414" s="49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</row>
    <row r="415" spans="1:36" ht="20.100000000000001" customHeight="1" x14ac:dyDescent="0.25">
      <c r="A415" s="85"/>
      <c r="B415" s="67" t="s">
        <v>1072</v>
      </c>
      <c r="C415" s="67" t="s">
        <v>1073</v>
      </c>
      <c r="D415" s="67" t="s">
        <v>24</v>
      </c>
      <c r="E415" s="68" t="s">
        <v>1074</v>
      </c>
      <c r="F415" s="67" t="s">
        <v>73</v>
      </c>
      <c r="G415" s="69">
        <v>28</v>
      </c>
      <c r="H415" s="70">
        <v>24.29</v>
      </c>
      <c r="I415" s="70">
        <f>14.16*1.22</f>
        <v>17.275199999999998</v>
      </c>
      <c r="J415" s="70">
        <f>10.13*1.22</f>
        <v>12.358600000000001</v>
      </c>
      <c r="K415" s="70">
        <f t="shared" si="80"/>
        <v>29.633800000000001</v>
      </c>
      <c r="L415" s="70">
        <f t="shared" si="81"/>
        <v>483.70559999999995</v>
      </c>
      <c r="M415" s="70">
        <f t="shared" si="82"/>
        <v>346.04080000000005</v>
      </c>
      <c r="N415" s="70">
        <f t="shared" si="83"/>
        <v>829.74639999999999</v>
      </c>
      <c r="O415" s="71">
        <f t="shared" si="70"/>
        <v>3.7047413441060041E-4</v>
      </c>
      <c r="P415" s="12"/>
      <c r="Q415" s="49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</row>
    <row r="416" spans="1:36" ht="33" customHeight="1" x14ac:dyDescent="0.25">
      <c r="A416" s="85"/>
      <c r="B416" s="67" t="s">
        <v>1075</v>
      </c>
      <c r="C416" s="67" t="s">
        <v>1076</v>
      </c>
      <c r="D416" s="67" t="s">
        <v>38</v>
      </c>
      <c r="E416" s="68" t="s">
        <v>1077</v>
      </c>
      <c r="F416" s="67" t="s">
        <v>73</v>
      </c>
      <c r="G416" s="69">
        <v>18</v>
      </c>
      <c r="H416" s="70">
        <v>21.75</v>
      </c>
      <c r="I416" s="70">
        <f>10.48*1.22</f>
        <v>12.785600000000001</v>
      </c>
      <c r="J416" s="70">
        <f>11.27*1.22</f>
        <v>13.7494</v>
      </c>
      <c r="K416" s="70">
        <f t="shared" si="80"/>
        <v>26.535</v>
      </c>
      <c r="L416" s="70">
        <f t="shared" si="81"/>
        <v>230.14080000000001</v>
      </c>
      <c r="M416" s="70">
        <f t="shared" si="82"/>
        <v>247.48919999999998</v>
      </c>
      <c r="N416" s="70">
        <f t="shared" si="83"/>
        <v>477.63</v>
      </c>
      <c r="O416" s="71">
        <f t="shared" si="70"/>
        <v>2.1325740107885381E-4</v>
      </c>
      <c r="P416" s="12"/>
      <c r="Q416" s="49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</row>
    <row r="417" spans="1:36" ht="20.100000000000001" customHeight="1" x14ac:dyDescent="0.25">
      <c r="A417" s="85"/>
      <c r="B417" s="59" t="s">
        <v>1078</v>
      </c>
      <c r="C417" s="59"/>
      <c r="D417" s="59"/>
      <c r="E417" s="60" t="s">
        <v>433</v>
      </c>
      <c r="F417" s="60"/>
      <c r="G417" s="61"/>
      <c r="H417" s="62"/>
      <c r="I417" s="60"/>
      <c r="J417" s="60"/>
      <c r="K417" s="60"/>
      <c r="L417" s="60"/>
      <c r="M417" s="60"/>
      <c r="N417" s="63">
        <f>SUM(N418:N421)</f>
        <v>3194.8506000000002</v>
      </c>
      <c r="O417" s="64">
        <f>N417/$N$472</f>
        <v>1.4264714021129678E-3</v>
      </c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</row>
    <row r="418" spans="1:36" ht="20.100000000000001" customHeight="1" x14ac:dyDescent="0.25">
      <c r="A418" s="85"/>
      <c r="B418" s="67" t="s">
        <v>1079</v>
      </c>
      <c r="C418" s="67" t="s">
        <v>1080</v>
      </c>
      <c r="D418" s="67" t="s">
        <v>24</v>
      </c>
      <c r="E418" s="68" t="s">
        <v>1081</v>
      </c>
      <c r="F418" s="67" t="s">
        <v>40</v>
      </c>
      <c r="G418" s="69">
        <v>1</v>
      </c>
      <c r="H418" s="70">
        <v>484.29</v>
      </c>
      <c r="I418" s="70">
        <f>52.67*1.22</f>
        <v>64.257400000000004</v>
      </c>
      <c r="J418" s="70">
        <f>431.62*1.22</f>
        <v>526.57640000000004</v>
      </c>
      <c r="K418" s="70">
        <f t="shared" ref="K418:K421" si="84">I418+J418</f>
        <v>590.8338</v>
      </c>
      <c r="L418" s="70">
        <f t="shared" ref="L418:L421" si="85">G418*I418</f>
        <v>64.257400000000004</v>
      </c>
      <c r="M418" s="70">
        <f t="shared" ref="M418:M421" si="86">G418*J418</f>
        <v>526.57640000000004</v>
      </c>
      <c r="N418" s="70">
        <f t="shared" ref="N418:N421" si="87">L418+M418</f>
        <v>590.8338</v>
      </c>
      <c r="O418" s="71">
        <f t="shared" si="70"/>
        <v>2.6380185636903735E-4</v>
      </c>
      <c r="P418" s="12"/>
      <c r="Q418" s="49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</row>
    <row r="419" spans="1:36" ht="20.100000000000001" customHeight="1" x14ac:dyDescent="0.25">
      <c r="A419" s="85"/>
      <c r="B419" s="67" t="s">
        <v>1082</v>
      </c>
      <c r="C419" s="67" t="s">
        <v>1080</v>
      </c>
      <c r="D419" s="67" t="s">
        <v>24</v>
      </c>
      <c r="E419" s="68" t="s">
        <v>1081</v>
      </c>
      <c r="F419" s="67" t="s">
        <v>40</v>
      </c>
      <c r="G419" s="69">
        <v>1</v>
      </c>
      <c r="H419" s="70">
        <v>484.29</v>
      </c>
      <c r="I419" s="70">
        <f>52.67*1.22</f>
        <v>64.257400000000004</v>
      </c>
      <c r="J419" s="70">
        <f>431.62*1.22</f>
        <v>526.57640000000004</v>
      </c>
      <c r="K419" s="70">
        <f t="shared" si="84"/>
        <v>590.8338</v>
      </c>
      <c r="L419" s="70">
        <f t="shared" si="85"/>
        <v>64.257400000000004</v>
      </c>
      <c r="M419" s="70">
        <f t="shared" si="86"/>
        <v>526.57640000000004</v>
      </c>
      <c r="N419" s="70">
        <f t="shared" si="87"/>
        <v>590.8338</v>
      </c>
      <c r="O419" s="71">
        <f t="shared" si="70"/>
        <v>2.6380185636903735E-4</v>
      </c>
      <c r="P419" s="12"/>
      <c r="Q419" s="49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</row>
    <row r="420" spans="1:36" ht="20.100000000000001" customHeight="1" x14ac:dyDescent="0.25">
      <c r="A420" s="85"/>
      <c r="B420" s="67" t="s">
        <v>1083</v>
      </c>
      <c r="C420" s="67" t="s">
        <v>1084</v>
      </c>
      <c r="D420" s="67" t="s">
        <v>24</v>
      </c>
      <c r="E420" s="68" t="s">
        <v>1085</v>
      </c>
      <c r="F420" s="67" t="s">
        <v>40</v>
      </c>
      <c r="G420" s="69">
        <v>3</v>
      </c>
      <c r="H420" s="70">
        <v>388.62</v>
      </c>
      <c r="I420" s="70">
        <f>52.67*1.22</f>
        <v>64.257400000000004</v>
      </c>
      <c r="J420" s="70">
        <f>335.95*1.22</f>
        <v>409.85899999999998</v>
      </c>
      <c r="K420" s="70">
        <f t="shared" si="84"/>
        <v>474.1164</v>
      </c>
      <c r="L420" s="70">
        <f t="shared" si="85"/>
        <v>192.7722</v>
      </c>
      <c r="M420" s="70">
        <f t="shared" si="86"/>
        <v>1229.577</v>
      </c>
      <c r="N420" s="70">
        <f t="shared" si="87"/>
        <v>1422.3492000000001</v>
      </c>
      <c r="O420" s="71">
        <f t="shared" si="70"/>
        <v>6.3506583300585579E-4</v>
      </c>
      <c r="P420" s="12"/>
      <c r="Q420" s="49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</row>
    <row r="421" spans="1:36" ht="20.100000000000001" customHeight="1" x14ac:dyDescent="0.25">
      <c r="A421" s="85"/>
      <c r="B421" s="67" t="s">
        <v>1086</v>
      </c>
      <c r="C421" s="67" t="s">
        <v>1080</v>
      </c>
      <c r="D421" s="67" t="s">
        <v>24</v>
      </c>
      <c r="E421" s="68" t="s">
        <v>1081</v>
      </c>
      <c r="F421" s="67" t="s">
        <v>40</v>
      </c>
      <c r="G421" s="69">
        <v>1</v>
      </c>
      <c r="H421" s="70">
        <v>484.29</v>
      </c>
      <c r="I421" s="70">
        <f>52.67*1.22</f>
        <v>64.257400000000004</v>
      </c>
      <c r="J421" s="70">
        <f>431.62*1.22</f>
        <v>526.57640000000004</v>
      </c>
      <c r="K421" s="70">
        <f t="shared" si="84"/>
        <v>590.8338</v>
      </c>
      <c r="L421" s="70">
        <f t="shared" si="85"/>
        <v>64.257400000000004</v>
      </c>
      <c r="M421" s="70">
        <f t="shared" si="86"/>
        <v>526.57640000000004</v>
      </c>
      <c r="N421" s="70">
        <f t="shared" si="87"/>
        <v>590.8338</v>
      </c>
      <c r="O421" s="71">
        <f t="shared" si="70"/>
        <v>2.6380185636903735E-4</v>
      </c>
      <c r="P421" s="12"/>
      <c r="Q421" s="49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</row>
    <row r="422" spans="1:36" ht="20.100000000000001" customHeight="1" x14ac:dyDescent="0.25">
      <c r="A422" s="85"/>
      <c r="B422" s="59">
        <v>18</v>
      </c>
      <c r="C422" s="59"/>
      <c r="D422" s="59"/>
      <c r="E422" s="60" t="s">
        <v>1087</v>
      </c>
      <c r="F422" s="60"/>
      <c r="G422" s="61"/>
      <c r="H422" s="62"/>
      <c r="I422" s="60"/>
      <c r="J422" s="60"/>
      <c r="K422" s="60"/>
      <c r="L422" s="60"/>
      <c r="M422" s="60"/>
      <c r="N422" s="63">
        <f>SUM(N423:N430)</f>
        <v>8636.3592599999993</v>
      </c>
      <c r="O422" s="64">
        <f>N422/$N$472</f>
        <v>3.8560549600546302E-3</v>
      </c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</row>
    <row r="423" spans="1:36" ht="33" customHeight="1" x14ac:dyDescent="0.25">
      <c r="A423" s="85"/>
      <c r="B423" s="67" t="s">
        <v>1088</v>
      </c>
      <c r="C423" s="67" t="s">
        <v>818</v>
      </c>
      <c r="D423" s="67" t="s">
        <v>38</v>
      </c>
      <c r="E423" s="68" t="s">
        <v>819</v>
      </c>
      <c r="F423" s="67" t="s">
        <v>40</v>
      </c>
      <c r="G423" s="69">
        <v>28</v>
      </c>
      <c r="H423" s="70">
        <v>24.6</v>
      </c>
      <c r="I423" s="70">
        <f>17.67*1.22</f>
        <v>21.557400000000001</v>
      </c>
      <c r="J423" s="70">
        <f>7.33*1.22</f>
        <v>8.9426000000000005</v>
      </c>
      <c r="K423" s="70">
        <f t="shared" ref="K423:K430" si="88">I423+J423</f>
        <v>30.5</v>
      </c>
      <c r="L423" s="70">
        <f t="shared" ref="L423:L430" si="89">G423*I423</f>
        <v>603.60720000000003</v>
      </c>
      <c r="M423" s="70">
        <f t="shared" ref="M423:M430" si="90">G423*J423</f>
        <v>250.39280000000002</v>
      </c>
      <c r="N423" s="70">
        <f t="shared" ref="N423:N430" si="91">L423+M423</f>
        <v>854</v>
      </c>
      <c r="O423" s="71">
        <f t="shared" si="70"/>
        <v>3.8130314369143721E-4</v>
      </c>
      <c r="P423" s="12"/>
      <c r="Q423" s="49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</row>
    <row r="424" spans="1:36" ht="20.100000000000001" customHeight="1" x14ac:dyDescent="0.25">
      <c r="A424" s="85"/>
      <c r="B424" s="67" t="s">
        <v>1089</v>
      </c>
      <c r="C424" s="67" t="s">
        <v>863</v>
      </c>
      <c r="D424" s="67" t="s">
        <v>24</v>
      </c>
      <c r="E424" s="68" t="s">
        <v>1090</v>
      </c>
      <c r="F424" s="67" t="s">
        <v>40</v>
      </c>
      <c r="G424" s="69">
        <v>4</v>
      </c>
      <c r="H424" s="70">
        <v>75.89</v>
      </c>
      <c r="I424" s="70">
        <f>21.07*1.22</f>
        <v>25.705400000000001</v>
      </c>
      <c r="J424" s="70">
        <f>54.82*1.22</f>
        <v>66.880399999999995</v>
      </c>
      <c r="K424" s="70">
        <f t="shared" si="88"/>
        <v>92.585799999999992</v>
      </c>
      <c r="L424" s="70">
        <f t="shared" si="89"/>
        <v>102.8216</v>
      </c>
      <c r="M424" s="70">
        <f t="shared" si="90"/>
        <v>267.52159999999998</v>
      </c>
      <c r="N424" s="70">
        <f t="shared" si="91"/>
        <v>370.34319999999997</v>
      </c>
      <c r="O424" s="71">
        <f t="shared" si="70"/>
        <v>1.6535483185567526E-4</v>
      </c>
      <c r="P424" s="12"/>
      <c r="Q424" s="49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</row>
    <row r="425" spans="1:36" ht="20.100000000000001" customHeight="1" x14ac:dyDescent="0.25">
      <c r="A425" s="85"/>
      <c r="B425" s="67" t="s">
        <v>1091</v>
      </c>
      <c r="C425" s="67" t="s">
        <v>1092</v>
      </c>
      <c r="D425" s="67" t="s">
        <v>38</v>
      </c>
      <c r="E425" s="68" t="s">
        <v>1093</v>
      </c>
      <c r="F425" s="67" t="s">
        <v>40</v>
      </c>
      <c r="G425" s="69">
        <v>18</v>
      </c>
      <c r="H425" s="70">
        <v>50.52</v>
      </c>
      <c r="I425" s="70">
        <f>12.08*1.22</f>
        <v>14.7376</v>
      </c>
      <c r="J425" s="70">
        <f>38.44*1.22</f>
        <v>46.896799999999999</v>
      </c>
      <c r="K425" s="70">
        <f t="shared" si="88"/>
        <v>61.634399999999999</v>
      </c>
      <c r="L425" s="70">
        <f t="shared" si="89"/>
        <v>265.27679999999998</v>
      </c>
      <c r="M425" s="70">
        <f t="shared" si="90"/>
        <v>844.14239999999995</v>
      </c>
      <c r="N425" s="70">
        <f t="shared" si="91"/>
        <v>1109.4191999999998</v>
      </c>
      <c r="O425" s="71">
        <f t="shared" si="70"/>
        <v>4.9534546678177904E-4</v>
      </c>
      <c r="P425" s="12"/>
      <c r="Q425" s="49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</row>
    <row r="426" spans="1:36" ht="33" customHeight="1" x14ac:dyDescent="0.25">
      <c r="A426" s="85"/>
      <c r="B426" s="67" t="s">
        <v>1094</v>
      </c>
      <c r="C426" s="67" t="s">
        <v>954</v>
      </c>
      <c r="D426" s="67" t="s">
        <v>38</v>
      </c>
      <c r="E426" s="68" t="s">
        <v>955</v>
      </c>
      <c r="F426" s="67" t="s">
        <v>73</v>
      </c>
      <c r="G426" s="69">
        <v>82</v>
      </c>
      <c r="H426" s="70">
        <v>27.62</v>
      </c>
      <c r="I426" s="70">
        <f>13.5*1.22</f>
        <v>16.47</v>
      </c>
      <c r="J426" s="70">
        <f>14.12*1.22</f>
        <v>17.226399999999998</v>
      </c>
      <c r="K426" s="70">
        <f t="shared" si="88"/>
        <v>33.696399999999997</v>
      </c>
      <c r="L426" s="70">
        <f t="shared" si="89"/>
        <v>1350.54</v>
      </c>
      <c r="M426" s="70">
        <f t="shared" si="90"/>
        <v>1412.5647999999999</v>
      </c>
      <c r="N426" s="70">
        <f t="shared" si="91"/>
        <v>2763.1048000000001</v>
      </c>
      <c r="O426" s="71">
        <f t="shared" si="70"/>
        <v>1.2337008742258782E-3</v>
      </c>
      <c r="P426" s="12"/>
      <c r="Q426" s="49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</row>
    <row r="427" spans="1:36" ht="33" customHeight="1" x14ac:dyDescent="0.25">
      <c r="A427" s="85"/>
      <c r="B427" s="67" t="s">
        <v>1095</v>
      </c>
      <c r="C427" s="67" t="s">
        <v>957</v>
      </c>
      <c r="D427" s="67" t="s">
        <v>38</v>
      </c>
      <c r="E427" s="68" t="s">
        <v>958</v>
      </c>
      <c r="F427" s="67" t="s">
        <v>73</v>
      </c>
      <c r="G427" s="69">
        <v>55.7</v>
      </c>
      <c r="H427" s="70">
        <v>23.07</v>
      </c>
      <c r="I427" s="70">
        <f>12.7*1.22</f>
        <v>15.493999999999998</v>
      </c>
      <c r="J427" s="70">
        <f>10.37*1.22</f>
        <v>12.651399999999999</v>
      </c>
      <c r="K427" s="70">
        <f t="shared" si="88"/>
        <v>28.145399999999995</v>
      </c>
      <c r="L427" s="70">
        <f t="shared" si="89"/>
        <v>863.0157999999999</v>
      </c>
      <c r="M427" s="70">
        <f t="shared" si="90"/>
        <v>704.68297999999993</v>
      </c>
      <c r="N427" s="70">
        <f t="shared" si="91"/>
        <v>1567.6987799999997</v>
      </c>
      <c r="O427" s="71">
        <f t="shared" si="70"/>
        <v>6.9996308334336146E-4</v>
      </c>
      <c r="P427" s="12"/>
      <c r="Q427" s="49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</row>
    <row r="428" spans="1:36" ht="33" customHeight="1" x14ac:dyDescent="0.25">
      <c r="A428" s="85"/>
      <c r="B428" s="67" t="s">
        <v>1096</v>
      </c>
      <c r="C428" s="67" t="s">
        <v>963</v>
      </c>
      <c r="D428" s="67" t="s">
        <v>38</v>
      </c>
      <c r="E428" s="68" t="s">
        <v>964</v>
      </c>
      <c r="F428" s="67" t="s">
        <v>73</v>
      </c>
      <c r="G428" s="69">
        <v>44.8</v>
      </c>
      <c r="H428" s="70">
        <v>21.28</v>
      </c>
      <c r="I428" s="70">
        <f>9.51*1.22</f>
        <v>11.6022</v>
      </c>
      <c r="J428" s="70">
        <f>11.77*1.22</f>
        <v>14.359399999999999</v>
      </c>
      <c r="K428" s="70">
        <f t="shared" si="88"/>
        <v>25.961599999999997</v>
      </c>
      <c r="L428" s="70">
        <f t="shared" si="89"/>
        <v>519.77855999999997</v>
      </c>
      <c r="M428" s="70">
        <f t="shared" si="90"/>
        <v>643.30111999999997</v>
      </c>
      <c r="N428" s="70">
        <f t="shared" si="91"/>
        <v>1163.0796799999998</v>
      </c>
      <c r="O428" s="71">
        <f t="shared" si="70"/>
        <v>5.193043774562421E-4</v>
      </c>
      <c r="P428" s="12"/>
      <c r="Q428" s="49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</row>
    <row r="429" spans="1:36" ht="33" customHeight="1" x14ac:dyDescent="0.25">
      <c r="A429" s="85"/>
      <c r="B429" s="67" t="s">
        <v>1097</v>
      </c>
      <c r="C429" s="67" t="s">
        <v>966</v>
      </c>
      <c r="D429" s="67" t="s">
        <v>38</v>
      </c>
      <c r="E429" s="68" t="s">
        <v>967</v>
      </c>
      <c r="F429" s="67" t="s">
        <v>73</v>
      </c>
      <c r="G429" s="69">
        <v>16</v>
      </c>
      <c r="H429" s="70">
        <v>27.33</v>
      </c>
      <c r="I429" s="70">
        <f>7.55*1.22</f>
        <v>9.2110000000000003</v>
      </c>
      <c r="J429" s="70">
        <f>19.78*1.22</f>
        <v>24.131600000000002</v>
      </c>
      <c r="K429" s="70">
        <f t="shared" si="88"/>
        <v>33.342600000000004</v>
      </c>
      <c r="L429" s="70">
        <f t="shared" si="89"/>
        <v>147.376</v>
      </c>
      <c r="M429" s="70">
        <f t="shared" si="90"/>
        <v>386.10560000000004</v>
      </c>
      <c r="N429" s="70">
        <f t="shared" si="91"/>
        <v>533.48160000000007</v>
      </c>
      <c r="O429" s="71">
        <f t="shared" si="70"/>
        <v>2.3819462667627384E-4</v>
      </c>
      <c r="P429" s="12"/>
      <c r="Q429" s="49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</row>
    <row r="430" spans="1:36" ht="20.100000000000001" customHeight="1" x14ac:dyDescent="0.25">
      <c r="A430" s="85"/>
      <c r="B430" s="67" t="s">
        <v>1098</v>
      </c>
      <c r="C430" s="67" t="s">
        <v>1099</v>
      </c>
      <c r="D430" s="67" t="s">
        <v>24</v>
      </c>
      <c r="E430" s="68" t="s">
        <v>1100</v>
      </c>
      <c r="F430" s="67" t="s">
        <v>531</v>
      </c>
      <c r="G430" s="69">
        <v>10</v>
      </c>
      <c r="H430" s="70">
        <v>22.56</v>
      </c>
      <c r="I430" s="70">
        <f>10.54*1.22</f>
        <v>12.858799999999999</v>
      </c>
      <c r="J430" s="70">
        <f>12.02*1.22</f>
        <v>14.664399999999999</v>
      </c>
      <c r="K430" s="70">
        <f t="shared" si="88"/>
        <v>27.523199999999996</v>
      </c>
      <c r="L430" s="70">
        <f t="shared" si="89"/>
        <v>128.58799999999999</v>
      </c>
      <c r="M430" s="70">
        <f t="shared" si="90"/>
        <v>146.64399999999998</v>
      </c>
      <c r="N430" s="70">
        <f t="shared" si="91"/>
        <v>275.23199999999997</v>
      </c>
      <c r="O430" s="71">
        <f t="shared" si="70"/>
        <v>1.2288855602398318E-4</v>
      </c>
      <c r="P430" s="12"/>
      <c r="Q430" s="49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</row>
    <row r="431" spans="1:36" ht="20.100000000000001" customHeight="1" x14ac:dyDescent="0.25">
      <c r="A431" s="85"/>
      <c r="B431" s="59">
        <v>19</v>
      </c>
      <c r="C431" s="59"/>
      <c r="D431" s="59"/>
      <c r="E431" s="60" t="s">
        <v>1101</v>
      </c>
      <c r="F431" s="60"/>
      <c r="G431" s="61"/>
      <c r="H431" s="62"/>
      <c r="I431" s="60"/>
      <c r="J431" s="60"/>
      <c r="K431" s="60"/>
      <c r="L431" s="60"/>
      <c r="M431" s="60"/>
      <c r="N431" s="63">
        <f>SUM(N432:N442)</f>
        <v>19730.096199999993</v>
      </c>
      <c r="O431" s="64">
        <f>N431/$N$472</f>
        <v>8.8093064477687087E-3</v>
      </c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</row>
    <row r="432" spans="1:36" ht="33" customHeight="1" x14ac:dyDescent="0.25">
      <c r="A432" s="85"/>
      <c r="B432" s="67" t="s">
        <v>1102</v>
      </c>
      <c r="C432" s="67" t="s">
        <v>1103</v>
      </c>
      <c r="D432" s="67" t="s">
        <v>38</v>
      </c>
      <c r="E432" s="68" t="s">
        <v>1104</v>
      </c>
      <c r="F432" s="67" t="s">
        <v>73</v>
      </c>
      <c r="G432" s="69">
        <v>100</v>
      </c>
      <c r="H432" s="70">
        <v>68</v>
      </c>
      <c r="I432" s="70">
        <f>15.29*1.22</f>
        <v>18.653799999999997</v>
      </c>
      <c r="J432" s="70">
        <f>83.99*1.22</f>
        <v>102.4678</v>
      </c>
      <c r="K432" s="70">
        <f t="shared" ref="K432:K442" si="92">I432+J432</f>
        <v>121.1216</v>
      </c>
      <c r="L432" s="70">
        <f t="shared" ref="L432:L442" si="93">G432*I432</f>
        <v>1865.3799999999997</v>
      </c>
      <c r="M432" s="70">
        <f t="shared" ref="M432:M442" si="94">G432*J432</f>
        <v>10246.779999999999</v>
      </c>
      <c r="N432" s="70">
        <f t="shared" ref="N432:N442" si="95">L432+M432</f>
        <v>12112.159999999998</v>
      </c>
      <c r="O432" s="71">
        <f t="shared" si="70"/>
        <v>5.4079680150979827E-3</v>
      </c>
      <c r="P432" s="12"/>
      <c r="Q432" s="49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</row>
    <row r="433" spans="1:36" ht="33" customHeight="1" x14ac:dyDescent="0.25">
      <c r="A433" s="85"/>
      <c r="B433" s="67" t="s">
        <v>1105</v>
      </c>
      <c r="C433" s="67" t="s">
        <v>1106</v>
      </c>
      <c r="D433" s="67" t="s">
        <v>38</v>
      </c>
      <c r="E433" s="68" t="s">
        <v>1107</v>
      </c>
      <c r="F433" s="67" t="s">
        <v>40</v>
      </c>
      <c r="G433" s="69">
        <v>10</v>
      </c>
      <c r="H433" s="70">
        <v>29.24</v>
      </c>
      <c r="I433" s="70">
        <f>16.06*1.22</f>
        <v>19.5932</v>
      </c>
      <c r="J433" s="70">
        <f>13.18*1.22</f>
        <v>16.079599999999999</v>
      </c>
      <c r="K433" s="70">
        <f t="shared" si="92"/>
        <v>35.672799999999995</v>
      </c>
      <c r="L433" s="70">
        <f t="shared" si="93"/>
        <v>195.93199999999999</v>
      </c>
      <c r="M433" s="70">
        <f t="shared" si="94"/>
        <v>160.79599999999999</v>
      </c>
      <c r="N433" s="70">
        <f t="shared" si="95"/>
        <v>356.72799999999995</v>
      </c>
      <c r="O433" s="71">
        <f t="shared" si="70"/>
        <v>1.5927577030768034E-4</v>
      </c>
      <c r="P433" s="12"/>
      <c r="Q433" s="49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</row>
    <row r="434" spans="1:36" ht="33" customHeight="1" x14ac:dyDescent="0.25">
      <c r="A434" s="85"/>
      <c r="B434" s="67" t="s">
        <v>1108</v>
      </c>
      <c r="C434" s="67" t="s">
        <v>1109</v>
      </c>
      <c r="D434" s="67" t="s">
        <v>38</v>
      </c>
      <c r="E434" s="68" t="s">
        <v>1110</v>
      </c>
      <c r="F434" s="67" t="s">
        <v>40</v>
      </c>
      <c r="G434" s="69">
        <v>50</v>
      </c>
      <c r="H434" s="70">
        <v>21.69</v>
      </c>
      <c r="I434" s="70">
        <f>12.05*1.22</f>
        <v>14.701000000000001</v>
      </c>
      <c r="J434" s="70">
        <f>9.64*1.22</f>
        <v>11.7608</v>
      </c>
      <c r="K434" s="70">
        <f t="shared" si="92"/>
        <v>26.4618</v>
      </c>
      <c r="L434" s="70">
        <f t="shared" si="93"/>
        <v>735.05000000000007</v>
      </c>
      <c r="M434" s="70">
        <f t="shared" si="94"/>
        <v>588.04</v>
      </c>
      <c r="N434" s="70">
        <f t="shared" si="95"/>
        <v>1323.0900000000001</v>
      </c>
      <c r="O434" s="71">
        <f t="shared" si="70"/>
        <v>5.9074751333337676E-4</v>
      </c>
      <c r="P434" s="12"/>
      <c r="Q434" s="49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</row>
    <row r="435" spans="1:36" ht="33" customHeight="1" x14ac:dyDescent="0.25">
      <c r="A435" s="85"/>
      <c r="B435" s="67" t="s">
        <v>1111</v>
      </c>
      <c r="C435" s="67" t="s">
        <v>1112</v>
      </c>
      <c r="D435" s="67" t="s">
        <v>38</v>
      </c>
      <c r="E435" s="68" t="s">
        <v>1113</v>
      </c>
      <c r="F435" s="67" t="s">
        <v>40</v>
      </c>
      <c r="G435" s="69">
        <v>10</v>
      </c>
      <c r="H435" s="70">
        <v>14.24</v>
      </c>
      <c r="I435" s="70">
        <f>8.05*1.22</f>
        <v>9.8210000000000015</v>
      </c>
      <c r="J435" s="70">
        <f>6.19*1.22</f>
        <v>7.5518000000000001</v>
      </c>
      <c r="K435" s="70">
        <f t="shared" si="92"/>
        <v>17.372800000000002</v>
      </c>
      <c r="L435" s="70">
        <f t="shared" si="93"/>
        <v>98.210000000000008</v>
      </c>
      <c r="M435" s="70">
        <f t="shared" si="94"/>
        <v>75.518000000000001</v>
      </c>
      <c r="N435" s="70">
        <f t="shared" si="95"/>
        <v>173.72800000000001</v>
      </c>
      <c r="O435" s="71">
        <f t="shared" si="70"/>
        <v>7.7567953802372381E-5</v>
      </c>
      <c r="P435" s="12"/>
      <c r="Q435" s="49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</row>
    <row r="436" spans="1:36" ht="20.100000000000001" customHeight="1" x14ac:dyDescent="0.25">
      <c r="A436" s="85"/>
      <c r="B436" s="67" t="s">
        <v>1114</v>
      </c>
      <c r="C436" s="67" t="s">
        <v>1115</v>
      </c>
      <c r="D436" s="67" t="s">
        <v>618</v>
      </c>
      <c r="E436" s="68" t="s">
        <v>1116</v>
      </c>
      <c r="F436" s="67" t="s">
        <v>40</v>
      </c>
      <c r="G436" s="69">
        <v>8</v>
      </c>
      <c r="H436" s="70">
        <f>[1]CPUS!L167</f>
        <v>113.5425</v>
      </c>
      <c r="I436" s="70">
        <f>[1]CPUS!L164*1.22</f>
        <v>13.19125</v>
      </c>
      <c r="J436" s="70">
        <f>[1]CPUS!L166*1.22</f>
        <v>125.3306</v>
      </c>
      <c r="K436" s="70">
        <f t="shared" si="92"/>
        <v>138.52185</v>
      </c>
      <c r="L436" s="70">
        <f t="shared" si="93"/>
        <v>105.53</v>
      </c>
      <c r="M436" s="70">
        <f t="shared" si="94"/>
        <v>1002.6448</v>
      </c>
      <c r="N436" s="70">
        <f t="shared" si="95"/>
        <v>1108.1748</v>
      </c>
      <c r="O436" s="71">
        <f t="shared" si="70"/>
        <v>4.9478985362954296E-4</v>
      </c>
      <c r="P436" s="12"/>
      <c r="Q436" s="49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</row>
    <row r="437" spans="1:36" ht="33" customHeight="1" x14ac:dyDescent="0.25">
      <c r="A437" s="85"/>
      <c r="B437" s="67" t="s">
        <v>1117</v>
      </c>
      <c r="C437" s="67" t="s">
        <v>1118</v>
      </c>
      <c r="D437" s="67" t="s">
        <v>467</v>
      </c>
      <c r="E437" s="68" t="s">
        <v>1119</v>
      </c>
      <c r="F437" s="67" t="s">
        <v>327</v>
      </c>
      <c r="G437" s="69">
        <v>1</v>
      </c>
      <c r="H437" s="70">
        <v>1309.6400000000001</v>
      </c>
      <c r="I437" s="70">
        <f>13.67*1.22</f>
        <v>16.677399999999999</v>
      </c>
      <c r="J437" s="70">
        <f>1295.97*1.22</f>
        <v>1581.0834</v>
      </c>
      <c r="K437" s="70">
        <f t="shared" si="92"/>
        <v>1597.7608</v>
      </c>
      <c r="L437" s="70">
        <f t="shared" si="93"/>
        <v>16.677399999999999</v>
      </c>
      <c r="M437" s="70">
        <f t="shared" si="94"/>
        <v>1581.0834</v>
      </c>
      <c r="N437" s="70">
        <f t="shared" si="95"/>
        <v>1597.7608</v>
      </c>
      <c r="O437" s="71">
        <f t="shared" si="70"/>
        <v>7.1338549872007693E-4</v>
      </c>
      <c r="P437" s="12"/>
      <c r="Q437" s="49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</row>
    <row r="438" spans="1:36" ht="33" customHeight="1" x14ac:dyDescent="0.25">
      <c r="A438" s="85"/>
      <c r="B438" s="67" t="s">
        <v>1120</v>
      </c>
      <c r="C438" s="67" t="s">
        <v>1121</v>
      </c>
      <c r="D438" s="67" t="s">
        <v>467</v>
      </c>
      <c r="E438" s="68" t="s">
        <v>1122</v>
      </c>
      <c r="F438" s="67" t="s">
        <v>327</v>
      </c>
      <c r="G438" s="69">
        <v>1</v>
      </c>
      <c r="H438" s="70">
        <v>867.11</v>
      </c>
      <c r="I438" s="70">
        <f>10.24*1.22</f>
        <v>12.492800000000001</v>
      </c>
      <c r="J438" s="70">
        <f>856.87*1.22</f>
        <v>1045.3814</v>
      </c>
      <c r="K438" s="70">
        <f t="shared" si="92"/>
        <v>1057.8742</v>
      </c>
      <c r="L438" s="70">
        <f t="shared" si="93"/>
        <v>12.492800000000001</v>
      </c>
      <c r="M438" s="70">
        <f t="shared" si="94"/>
        <v>1045.3814</v>
      </c>
      <c r="N438" s="70">
        <f t="shared" si="95"/>
        <v>1057.8742</v>
      </c>
      <c r="O438" s="71">
        <f t="shared" si="70"/>
        <v>4.723310984661173E-4</v>
      </c>
      <c r="P438" s="12"/>
      <c r="Q438" s="49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</row>
    <row r="439" spans="1:36" ht="33" customHeight="1" x14ac:dyDescent="0.25">
      <c r="A439" s="85"/>
      <c r="B439" s="67" t="s">
        <v>1123</v>
      </c>
      <c r="C439" s="67" t="s">
        <v>1058</v>
      </c>
      <c r="D439" s="67" t="s">
        <v>38</v>
      </c>
      <c r="E439" s="68" t="s">
        <v>1059</v>
      </c>
      <c r="F439" s="67" t="s">
        <v>73</v>
      </c>
      <c r="G439" s="69">
        <v>6</v>
      </c>
      <c r="H439" s="70">
        <v>67.59</v>
      </c>
      <c r="I439" s="70">
        <f>3.35*1.22</f>
        <v>4.0869999999999997</v>
      </c>
      <c r="J439" s="70">
        <f>64.24*1.22</f>
        <v>78.372799999999998</v>
      </c>
      <c r="K439" s="70">
        <f t="shared" si="92"/>
        <v>82.459800000000001</v>
      </c>
      <c r="L439" s="70">
        <f t="shared" si="93"/>
        <v>24.521999999999998</v>
      </c>
      <c r="M439" s="70">
        <f t="shared" si="94"/>
        <v>470.23680000000002</v>
      </c>
      <c r="N439" s="70">
        <f t="shared" si="95"/>
        <v>494.75880000000001</v>
      </c>
      <c r="O439" s="71">
        <f t="shared" si="70"/>
        <v>2.2090525270375064E-4</v>
      </c>
      <c r="P439" s="12"/>
      <c r="Q439" s="49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</row>
    <row r="440" spans="1:36" ht="20.100000000000001" customHeight="1" x14ac:dyDescent="0.25">
      <c r="A440" s="85"/>
      <c r="B440" s="67" t="s">
        <v>1124</v>
      </c>
      <c r="C440" s="67" t="s">
        <v>1125</v>
      </c>
      <c r="D440" s="67" t="s">
        <v>467</v>
      </c>
      <c r="E440" s="68" t="s">
        <v>1126</v>
      </c>
      <c r="F440" s="67" t="s">
        <v>380</v>
      </c>
      <c r="G440" s="69">
        <v>4</v>
      </c>
      <c r="H440" s="70">
        <v>24.77</v>
      </c>
      <c r="I440" s="70">
        <f>5.95*1.22</f>
        <v>7.2590000000000003</v>
      </c>
      <c r="J440" s="70">
        <f>18.82*1.22</f>
        <v>22.9604</v>
      </c>
      <c r="K440" s="70">
        <f t="shared" si="92"/>
        <v>30.2194</v>
      </c>
      <c r="L440" s="70">
        <f t="shared" si="93"/>
        <v>29.036000000000001</v>
      </c>
      <c r="M440" s="70">
        <f t="shared" si="94"/>
        <v>91.8416</v>
      </c>
      <c r="N440" s="70">
        <f t="shared" si="95"/>
        <v>120.8776</v>
      </c>
      <c r="O440" s="71">
        <f t="shared" ref="O440:O472" si="96">N440/$N$472</f>
        <v>5.3970736395639427E-5</v>
      </c>
      <c r="P440" s="12"/>
      <c r="Q440" s="49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</row>
    <row r="441" spans="1:36" ht="33" customHeight="1" x14ac:dyDescent="0.25">
      <c r="A441" s="85"/>
      <c r="B441" s="67" t="s">
        <v>1127</v>
      </c>
      <c r="C441" s="67" t="s">
        <v>1128</v>
      </c>
      <c r="D441" s="67" t="s">
        <v>38</v>
      </c>
      <c r="E441" s="68" t="s">
        <v>1129</v>
      </c>
      <c r="F441" s="67" t="s">
        <v>40</v>
      </c>
      <c r="G441" s="69">
        <v>8</v>
      </c>
      <c r="H441" s="70">
        <v>43.7</v>
      </c>
      <c r="I441" s="70">
        <f>17.04*1.22</f>
        <v>20.788799999999998</v>
      </c>
      <c r="J441" s="70">
        <f>26.66*1.22</f>
        <v>32.525199999999998</v>
      </c>
      <c r="K441" s="70">
        <f t="shared" si="92"/>
        <v>53.313999999999993</v>
      </c>
      <c r="L441" s="70">
        <f t="shared" si="93"/>
        <v>166.31039999999999</v>
      </c>
      <c r="M441" s="70">
        <f t="shared" si="94"/>
        <v>260.20159999999998</v>
      </c>
      <c r="N441" s="70">
        <f t="shared" si="95"/>
        <v>426.51199999999994</v>
      </c>
      <c r="O441" s="71">
        <f t="shared" si="96"/>
        <v>1.9043368433503777E-4</v>
      </c>
      <c r="P441" s="12"/>
      <c r="Q441" s="49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</row>
    <row r="442" spans="1:36" ht="48" customHeight="1" x14ac:dyDescent="0.25">
      <c r="A442" s="85"/>
      <c r="B442" s="67" t="s">
        <v>1130</v>
      </c>
      <c r="C442" s="67" t="s">
        <v>1131</v>
      </c>
      <c r="D442" s="67" t="s">
        <v>38</v>
      </c>
      <c r="E442" s="68" t="s">
        <v>1132</v>
      </c>
      <c r="F442" s="67" t="s">
        <v>73</v>
      </c>
      <c r="G442" s="69">
        <v>40</v>
      </c>
      <c r="H442" s="70">
        <v>19.64</v>
      </c>
      <c r="I442" s="70">
        <f>9.63*1.22</f>
        <v>11.748600000000001</v>
      </c>
      <c r="J442" s="70">
        <f>10.01*1.22</f>
        <v>12.212199999999999</v>
      </c>
      <c r="K442" s="70">
        <f t="shared" si="92"/>
        <v>23.960799999999999</v>
      </c>
      <c r="L442" s="70">
        <f t="shared" si="93"/>
        <v>469.94400000000007</v>
      </c>
      <c r="M442" s="70">
        <f t="shared" si="94"/>
        <v>488.48799999999994</v>
      </c>
      <c r="N442" s="70">
        <f t="shared" si="95"/>
        <v>958.43200000000002</v>
      </c>
      <c r="O442" s="71">
        <f t="shared" si="96"/>
        <v>4.2793107097713296E-4</v>
      </c>
      <c r="P442" s="12"/>
      <c r="Q442" s="49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</row>
    <row r="443" spans="1:36" ht="20.100000000000001" customHeight="1" x14ac:dyDescent="0.25">
      <c r="A443" s="85"/>
      <c r="B443" s="59">
        <v>20</v>
      </c>
      <c r="C443" s="59"/>
      <c r="D443" s="59"/>
      <c r="E443" s="60" t="s">
        <v>1133</v>
      </c>
      <c r="F443" s="60"/>
      <c r="G443" s="61"/>
      <c r="H443" s="62"/>
      <c r="I443" s="60"/>
      <c r="J443" s="60"/>
      <c r="K443" s="60"/>
      <c r="L443" s="60"/>
      <c r="M443" s="60"/>
      <c r="N443" s="63">
        <f>N444+N446+N448</f>
        <v>11848.455170000001</v>
      </c>
      <c r="O443" s="64">
        <f>N443/$N$472</f>
        <v>5.2902262344356708E-3</v>
      </c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</row>
    <row r="444" spans="1:36" ht="20.100000000000001" customHeight="1" x14ac:dyDescent="0.25">
      <c r="A444" s="85"/>
      <c r="B444" s="59" t="s">
        <v>1134</v>
      </c>
      <c r="C444" s="59"/>
      <c r="D444" s="59"/>
      <c r="E444" s="60" t="s">
        <v>1135</v>
      </c>
      <c r="F444" s="60"/>
      <c r="G444" s="61"/>
      <c r="H444" s="62"/>
      <c r="I444" s="60"/>
      <c r="J444" s="60"/>
      <c r="K444" s="60"/>
      <c r="L444" s="60"/>
      <c r="M444" s="60"/>
      <c r="N444" s="63">
        <f>SUM(N445)</f>
        <v>3213.7538899999995</v>
      </c>
      <c r="O444" s="64">
        <f>N444/$N$472</f>
        <v>1.4349115471985776E-3</v>
      </c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</row>
    <row r="445" spans="1:36" ht="20.100000000000001" customHeight="1" x14ac:dyDescent="0.25">
      <c r="A445" s="85"/>
      <c r="B445" s="67" t="s">
        <v>1136</v>
      </c>
      <c r="C445" s="67" t="s">
        <v>1137</v>
      </c>
      <c r="D445" s="67" t="s">
        <v>38</v>
      </c>
      <c r="E445" s="68" t="s">
        <v>1138</v>
      </c>
      <c r="F445" s="67" t="s">
        <v>30</v>
      </c>
      <c r="G445" s="69">
        <v>14.59</v>
      </c>
      <c r="H445" s="70">
        <v>180.55</v>
      </c>
      <c r="I445" s="70">
        <f>42.95*1.22</f>
        <v>52.399000000000001</v>
      </c>
      <c r="J445" s="70">
        <f>137.6*1.22</f>
        <v>167.87199999999999</v>
      </c>
      <c r="K445" s="70">
        <f t="shared" ref="K445" si="97">I445+J445</f>
        <v>220.27099999999999</v>
      </c>
      <c r="L445" s="70">
        <f t="shared" ref="L445" si="98">G445*I445</f>
        <v>764.50140999999996</v>
      </c>
      <c r="M445" s="70">
        <f t="shared" ref="M445" si="99">G445*J445</f>
        <v>2449.2524799999997</v>
      </c>
      <c r="N445" s="70">
        <f t="shared" ref="N445" si="100">L445+M445</f>
        <v>3213.7538899999995</v>
      </c>
      <c r="O445" s="71">
        <f t="shared" si="96"/>
        <v>1.4349115471985776E-3</v>
      </c>
      <c r="P445" s="12"/>
      <c r="Q445" s="49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</row>
    <row r="446" spans="1:36" ht="20.100000000000001" customHeight="1" x14ac:dyDescent="0.25">
      <c r="A446" s="85"/>
      <c r="B446" s="59" t="s">
        <v>1139</v>
      </c>
      <c r="C446" s="59"/>
      <c r="D446" s="59"/>
      <c r="E446" s="60" t="s">
        <v>1140</v>
      </c>
      <c r="F446" s="60"/>
      <c r="G446" s="61"/>
      <c r="H446" s="62"/>
      <c r="I446" s="60"/>
      <c r="J446" s="60"/>
      <c r="K446" s="60"/>
      <c r="L446" s="60"/>
      <c r="M446" s="60"/>
      <c r="N446" s="63">
        <f>SUM(N447)</f>
        <v>1932.4653599999999</v>
      </c>
      <c r="O446" s="64">
        <f>N446/$N$472</f>
        <v>8.6282800567073173E-4</v>
      </c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</row>
    <row r="447" spans="1:36" ht="20.100000000000001" customHeight="1" x14ac:dyDescent="0.25">
      <c r="A447" s="85"/>
      <c r="B447" s="67" t="s">
        <v>1141</v>
      </c>
      <c r="C447" s="67" t="s">
        <v>1142</v>
      </c>
      <c r="D447" s="67" t="s">
        <v>38</v>
      </c>
      <c r="E447" s="68" t="s">
        <v>1143</v>
      </c>
      <c r="F447" s="67" t="s">
        <v>30</v>
      </c>
      <c r="G447" s="69">
        <v>72.66</v>
      </c>
      <c r="H447" s="70">
        <v>21.8</v>
      </c>
      <c r="I447" s="70">
        <f>3.5*1.22</f>
        <v>4.2699999999999996</v>
      </c>
      <c r="J447" s="70">
        <f>18.3*1.22</f>
        <v>22.326000000000001</v>
      </c>
      <c r="K447" s="70">
        <f t="shared" ref="K447" si="101">I447+J447</f>
        <v>26.596</v>
      </c>
      <c r="L447" s="70">
        <f t="shared" ref="L447" si="102">G447*I447</f>
        <v>310.25819999999993</v>
      </c>
      <c r="M447" s="70">
        <f t="shared" ref="M447" si="103">G447*J447</f>
        <v>1622.2071599999999</v>
      </c>
      <c r="N447" s="70">
        <f t="shared" ref="N447" si="104">L447+M447</f>
        <v>1932.4653599999999</v>
      </c>
      <c r="O447" s="71">
        <f t="shared" si="96"/>
        <v>8.6282800567073173E-4</v>
      </c>
      <c r="P447" s="12"/>
      <c r="Q447" s="49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</row>
    <row r="448" spans="1:36" ht="20.100000000000001" customHeight="1" x14ac:dyDescent="0.25">
      <c r="A448" s="85"/>
      <c r="B448" s="59" t="s">
        <v>1144</v>
      </c>
      <c r="C448" s="59"/>
      <c r="D448" s="59"/>
      <c r="E448" s="60" t="s">
        <v>1145</v>
      </c>
      <c r="F448" s="60"/>
      <c r="G448" s="61"/>
      <c r="H448" s="62"/>
      <c r="I448" s="60"/>
      <c r="J448" s="60"/>
      <c r="K448" s="60"/>
      <c r="L448" s="60"/>
      <c r="M448" s="60"/>
      <c r="N448" s="63">
        <f>SUM(N449)</f>
        <v>6702.235920000001</v>
      </c>
      <c r="O448" s="64">
        <f>N448/$N$472</f>
        <v>2.992486681566361E-3</v>
      </c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</row>
    <row r="449" spans="1:36" ht="20.100000000000001" customHeight="1" x14ac:dyDescent="0.25">
      <c r="A449" s="85"/>
      <c r="B449" s="67" t="s">
        <v>1146</v>
      </c>
      <c r="C449" s="67" t="s">
        <v>1147</v>
      </c>
      <c r="D449" s="67" t="s">
        <v>467</v>
      </c>
      <c r="E449" s="68" t="s">
        <v>1148</v>
      </c>
      <c r="F449" s="67" t="s">
        <v>30</v>
      </c>
      <c r="G449" s="69">
        <f>0.3*10*0.2</f>
        <v>0.60000000000000009</v>
      </c>
      <c r="H449" s="70">
        <v>9156.06</v>
      </c>
      <c r="I449" s="70">
        <f>95.04*1.22</f>
        <v>115.94880000000001</v>
      </c>
      <c r="J449" s="70">
        <f>9061.02*1.22</f>
        <v>11054.4444</v>
      </c>
      <c r="K449" s="70">
        <f t="shared" ref="K449" si="105">I449+J449</f>
        <v>11170.3932</v>
      </c>
      <c r="L449" s="70">
        <f t="shared" ref="L449" si="106">G449*I449</f>
        <v>69.56928000000002</v>
      </c>
      <c r="M449" s="70">
        <f t="shared" ref="M449" si="107">G449*J449</f>
        <v>6632.6666400000013</v>
      </c>
      <c r="N449" s="70">
        <f t="shared" ref="N449" si="108">L449+M449</f>
        <v>6702.235920000001</v>
      </c>
      <c r="O449" s="71">
        <f t="shared" si="96"/>
        <v>2.992486681566361E-3</v>
      </c>
      <c r="P449" s="12"/>
      <c r="Q449" s="49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</row>
    <row r="450" spans="1:36" ht="20.100000000000001" customHeight="1" x14ac:dyDescent="0.25">
      <c r="A450" s="85"/>
      <c r="B450" s="59">
        <v>21</v>
      </c>
      <c r="C450" s="59"/>
      <c r="D450" s="59"/>
      <c r="E450" s="60" t="s">
        <v>1149</v>
      </c>
      <c r="F450" s="60"/>
      <c r="G450" s="61"/>
      <c r="H450" s="62"/>
      <c r="I450" s="60"/>
      <c r="J450" s="60"/>
      <c r="K450" s="60"/>
      <c r="L450" s="60"/>
      <c r="M450" s="60"/>
      <c r="N450" s="63">
        <f>SUM(N451:N471)</f>
        <v>143455.07770338131</v>
      </c>
      <c r="O450" s="64">
        <f>N450/$N$472</f>
        <v>6.4051372490396594E-2</v>
      </c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</row>
    <row r="451" spans="1:36" ht="20.100000000000001" customHeight="1" x14ac:dyDescent="0.25">
      <c r="A451" s="12"/>
      <c r="B451" s="67" t="s">
        <v>1150</v>
      </c>
      <c r="C451" s="67" t="s">
        <v>1151</v>
      </c>
      <c r="D451" s="67" t="s">
        <v>24</v>
      </c>
      <c r="E451" s="68" t="s">
        <v>1152</v>
      </c>
      <c r="F451" s="67" t="s">
        <v>1153</v>
      </c>
      <c r="G451" s="69">
        <v>389.78</v>
      </c>
      <c r="H451" s="70">
        <v>15</v>
      </c>
      <c r="I451" s="70">
        <f>15*1.22</f>
        <v>18.3</v>
      </c>
      <c r="J451" s="70">
        <f>0*1.22</f>
        <v>0</v>
      </c>
      <c r="K451" s="70">
        <f t="shared" ref="K451:K471" si="109">I451+J451</f>
        <v>18.3</v>
      </c>
      <c r="L451" s="70">
        <f t="shared" ref="L451:L471" si="110">G451*I451</f>
        <v>7132.9740000000002</v>
      </c>
      <c r="M451" s="70">
        <f t="shared" ref="M451:M471" si="111">G451*J451</f>
        <v>0</v>
      </c>
      <c r="N451" s="70">
        <f t="shared" ref="N451:N471" si="112">L451+M451</f>
        <v>7132.9740000000002</v>
      </c>
      <c r="O451" s="71">
        <f t="shared" ref="O451:O470" si="113">N451/$N$472</f>
        <v>3.1848072717438943E-3</v>
      </c>
      <c r="P451" s="12"/>
      <c r="Q451" s="49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</row>
    <row r="452" spans="1:36" ht="20.100000000000001" customHeight="1" x14ac:dyDescent="0.25">
      <c r="A452" s="12"/>
      <c r="B452" s="67" t="s">
        <v>1154</v>
      </c>
      <c r="C452" s="67" t="s">
        <v>1155</v>
      </c>
      <c r="D452" s="67" t="s">
        <v>24</v>
      </c>
      <c r="E452" s="68" t="s">
        <v>1156</v>
      </c>
      <c r="F452" s="67" t="s">
        <v>1153</v>
      </c>
      <c r="G452" s="69">
        <f>(2*3*2.2)+(1.2*2.2)</f>
        <v>15.840000000000002</v>
      </c>
      <c r="H452" s="70">
        <v>1527.84</v>
      </c>
      <c r="I452" s="70">
        <f>106.09*1.22</f>
        <v>129.4298</v>
      </c>
      <c r="J452" s="70">
        <f>1421.75*1.22</f>
        <v>1734.5349999999999</v>
      </c>
      <c r="K452" s="70">
        <f t="shared" si="109"/>
        <v>1863.9647999999997</v>
      </c>
      <c r="L452" s="70">
        <f t="shared" si="110"/>
        <v>2050.168032</v>
      </c>
      <c r="M452" s="70">
        <f t="shared" si="111"/>
        <v>27475.0344</v>
      </c>
      <c r="N452" s="70">
        <f t="shared" si="112"/>
        <v>29525.202432000002</v>
      </c>
      <c r="O452" s="71">
        <f t="shared" si="113"/>
        <v>1.3182731271016006E-2</v>
      </c>
      <c r="P452" s="12"/>
      <c r="Q452" s="49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</row>
    <row r="453" spans="1:36" ht="20.100000000000001" customHeight="1" x14ac:dyDescent="0.25">
      <c r="A453" s="12"/>
      <c r="B453" s="67" t="s">
        <v>1157</v>
      </c>
      <c r="C453" s="67" t="s">
        <v>1158</v>
      </c>
      <c r="D453" s="67" t="s">
        <v>24</v>
      </c>
      <c r="E453" s="68" t="s">
        <v>1159</v>
      </c>
      <c r="F453" s="67" t="s">
        <v>1153</v>
      </c>
      <c r="G453" s="69">
        <f>(9.5+39+12.29+33.37-3-3-1.2)*1.8</f>
        <v>156.52799999999999</v>
      </c>
      <c r="H453" s="70">
        <v>240.22</v>
      </c>
      <c r="I453" s="70">
        <f>0*1.22</f>
        <v>0</v>
      </c>
      <c r="J453" s="70">
        <f>240.22*1.22</f>
        <v>293.0684</v>
      </c>
      <c r="K453" s="70">
        <f t="shared" si="109"/>
        <v>293.0684</v>
      </c>
      <c r="L453" s="70">
        <f t="shared" si="110"/>
        <v>0</v>
      </c>
      <c r="M453" s="70">
        <f t="shared" si="111"/>
        <v>45873.410515199997</v>
      </c>
      <c r="N453" s="70">
        <f t="shared" si="112"/>
        <v>45873.410515199997</v>
      </c>
      <c r="O453" s="71">
        <f t="shared" si="113"/>
        <v>2.0482055786058072E-2</v>
      </c>
      <c r="P453" s="12"/>
      <c r="Q453" s="49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</row>
    <row r="454" spans="1:36" ht="20.100000000000001" customHeight="1" x14ac:dyDescent="0.25">
      <c r="A454" s="12"/>
      <c r="B454" s="67" t="s">
        <v>1160</v>
      </c>
      <c r="C454" s="67" t="s">
        <v>1161</v>
      </c>
      <c r="D454" s="67" t="s">
        <v>24</v>
      </c>
      <c r="E454" s="68" t="s">
        <v>1162</v>
      </c>
      <c r="F454" s="67" t="s">
        <v>73</v>
      </c>
      <c r="G454" s="69">
        <f>(9.5+39+12.29+33.37+22.55+7.17-3-3-1.2)/3*4</f>
        <v>155.57333333333332</v>
      </c>
      <c r="H454" s="70">
        <v>68.62</v>
      </c>
      <c r="I454" s="70">
        <f>50.01*1.22</f>
        <v>61.012199999999993</v>
      </c>
      <c r="J454" s="70">
        <f>18.61*1.22</f>
        <v>22.7042</v>
      </c>
      <c r="K454" s="70">
        <f t="shared" si="109"/>
        <v>83.716399999999993</v>
      </c>
      <c r="L454" s="70">
        <f t="shared" si="110"/>
        <v>9491.8713279999974</v>
      </c>
      <c r="M454" s="70">
        <f t="shared" si="111"/>
        <v>3532.1680746666666</v>
      </c>
      <c r="N454" s="70">
        <f t="shared" si="112"/>
        <v>13024.039402666664</v>
      </c>
      <c r="O454" s="71">
        <f t="shared" si="113"/>
        <v>5.815113779622889E-3</v>
      </c>
      <c r="P454" s="12"/>
      <c r="Q454" s="49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</row>
    <row r="455" spans="1:36" ht="20.100000000000001" customHeight="1" x14ac:dyDescent="0.25">
      <c r="A455" s="12"/>
      <c r="B455" s="67" t="s">
        <v>1163</v>
      </c>
      <c r="C455" s="67" t="s">
        <v>1164</v>
      </c>
      <c r="D455" s="67" t="s">
        <v>24</v>
      </c>
      <c r="E455" s="68" t="s">
        <v>1165</v>
      </c>
      <c r="F455" s="67" t="s">
        <v>1166</v>
      </c>
      <c r="G455" s="69">
        <f>(9.5+39+12.29+33.37+22.55+7.17-3-3-1.2)*0.2*0.4*1.5</f>
        <v>14.0016</v>
      </c>
      <c r="H455" s="70">
        <v>64.290000000000006</v>
      </c>
      <c r="I455" s="70">
        <f>64.29*1.22</f>
        <v>78.433800000000005</v>
      </c>
      <c r="J455" s="70">
        <f>0*1.22</f>
        <v>0</v>
      </c>
      <c r="K455" s="70">
        <f t="shared" si="109"/>
        <v>78.433800000000005</v>
      </c>
      <c r="L455" s="70">
        <f t="shared" si="110"/>
        <v>1098.19869408</v>
      </c>
      <c r="M455" s="70">
        <f t="shared" si="111"/>
        <v>0</v>
      </c>
      <c r="N455" s="70">
        <f t="shared" si="112"/>
        <v>1098.19869408</v>
      </c>
      <c r="O455" s="71">
        <f t="shared" si="113"/>
        <v>4.903356141106967E-4</v>
      </c>
      <c r="P455" s="12"/>
      <c r="Q455" s="49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</row>
    <row r="456" spans="1:36" ht="20.100000000000001" customHeight="1" x14ac:dyDescent="0.25">
      <c r="A456" s="12"/>
      <c r="B456" s="67" t="s">
        <v>1167</v>
      </c>
      <c r="C456" s="67" t="s">
        <v>1168</v>
      </c>
      <c r="D456" s="67" t="s">
        <v>24</v>
      </c>
      <c r="E456" s="68" t="s">
        <v>1169</v>
      </c>
      <c r="F456" s="67" t="s">
        <v>1153</v>
      </c>
      <c r="G456" s="69">
        <f>(9.5+39+12.29+33.37+22.55+7.17-3-3-1.2)*0.4</f>
        <v>46.671999999999997</v>
      </c>
      <c r="H456" s="70">
        <v>104.54</v>
      </c>
      <c r="I456" s="70">
        <f>61.78*1.22</f>
        <v>75.371600000000001</v>
      </c>
      <c r="J456" s="70">
        <f>42.76*1.22</f>
        <v>52.167199999999994</v>
      </c>
      <c r="K456" s="70">
        <f t="shared" si="109"/>
        <v>127.53879999999999</v>
      </c>
      <c r="L456" s="70">
        <f t="shared" si="110"/>
        <v>3517.7433151999999</v>
      </c>
      <c r="M456" s="70">
        <f t="shared" si="111"/>
        <v>2434.7475583999994</v>
      </c>
      <c r="N456" s="70">
        <f t="shared" si="112"/>
        <v>5952.4908735999998</v>
      </c>
      <c r="O456" s="71">
        <f t="shared" si="113"/>
        <v>2.657732415571744E-3</v>
      </c>
      <c r="P456" s="12"/>
      <c r="Q456" s="49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</row>
    <row r="457" spans="1:36" ht="20.100000000000001" customHeight="1" x14ac:dyDescent="0.25">
      <c r="A457" s="12"/>
      <c r="B457" s="67" t="s">
        <v>1170</v>
      </c>
      <c r="C457" s="67" t="s">
        <v>1171</v>
      </c>
      <c r="D457" s="67" t="s">
        <v>24</v>
      </c>
      <c r="E457" s="68" t="s">
        <v>1172</v>
      </c>
      <c r="F457" s="67" t="s">
        <v>1166</v>
      </c>
      <c r="G457" s="69">
        <f>(9.5+39+12.29+33.37+22.55+7.17-3-3-1.2)*0.2*0.02</f>
        <v>0.46671999999999997</v>
      </c>
      <c r="H457" s="70">
        <v>211.23</v>
      </c>
      <c r="I457" s="70">
        <f>32.15*1.22</f>
        <v>39.222999999999999</v>
      </c>
      <c r="J457" s="70">
        <f>179.08*1.22</f>
        <v>218.47760000000002</v>
      </c>
      <c r="K457" s="70">
        <f t="shared" si="109"/>
        <v>257.70060000000001</v>
      </c>
      <c r="L457" s="70">
        <f t="shared" si="110"/>
        <v>18.306158559999997</v>
      </c>
      <c r="M457" s="70">
        <f t="shared" si="111"/>
        <v>101.967865472</v>
      </c>
      <c r="N457" s="70">
        <f t="shared" si="112"/>
        <v>120.274024032</v>
      </c>
      <c r="O457" s="71">
        <f t="shared" si="113"/>
        <v>5.3701245278479005E-5</v>
      </c>
      <c r="P457" s="12"/>
      <c r="Q457" s="49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</row>
    <row r="458" spans="1:36" ht="20.100000000000001" customHeight="1" x14ac:dyDescent="0.25">
      <c r="A458" s="12"/>
      <c r="B458" s="67" t="s">
        <v>1173</v>
      </c>
      <c r="C458" s="67" t="s">
        <v>1174</v>
      </c>
      <c r="D458" s="67" t="s">
        <v>24</v>
      </c>
      <c r="E458" s="68" t="s">
        <v>1175</v>
      </c>
      <c r="F458" s="67" t="s">
        <v>1166</v>
      </c>
      <c r="G458" s="69">
        <f>(9.5+39+12.29+33.37+22.55+7.17-3-3-1.2)*(0.2*0.4)</f>
        <v>9.3344000000000005</v>
      </c>
      <c r="H458" s="70">
        <v>500.13</v>
      </c>
      <c r="I458" s="70">
        <f>0*1.22</f>
        <v>0</v>
      </c>
      <c r="J458" s="70">
        <f>500.13*1.22</f>
        <v>610.15859999999998</v>
      </c>
      <c r="K458" s="70">
        <f t="shared" si="109"/>
        <v>610.15859999999998</v>
      </c>
      <c r="L458" s="70">
        <f t="shared" si="110"/>
        <v>0</v>
      </c>
      <c r="M458" s="70">
        <f t="shared" si="111"/>
        <v>5695.4644358400001</v>
      </c>
      <c r="N458" s="70">
        <f t="shared" si="112"/>
        <v>5695.4644358400001</v>
      </c>
      <c r="O458" s="71">
        <f t="shared" si="113"/>
        <v>2.5429724756072247E-3</v>
      </c>
      <c r="P458" s="12"/>
      <c r="Q458" s="49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</row>
    <row r="459" spans="1:36" ht="20.100000000000001" customHeight="1" x14ac:dyDescent="0.25">
      <c r="A459" s="12"/>
      <c r="B459" s="67" t="s">
        <v>1176</v>
      </c>
      <c r="C459" s="67" t="s">
        <v>1177</v>
      </c>
      <c r="D459" s="67" t="s">
        <v>24</v>
      </c>
      <c r="E459" s="68" t="s">
        <v>1178</v>
      </c>
      <c r="F459" s="67" t="s">
        <v>1166</v>
      </c>
      <c r="G459" s="69">
        <f>G458</f>
        <v>9.3344000000000005</v>
      </c>
      <c r="H459" s="70">
        <v>180.76</v>
      </c>
      <c r="I459" s="70">
        <f>180.76*1.22</f>
        <v>220.52719999999999</v>
      </c>
      <c r="J459" s="70">
        <f>0*1.22</f>
        <v>0</v>
      </c>
      <c r="K459" s="70">
        <f t="shared" si="109"/>
        <v>220.52719999999999</v>
      </c>
      <c r="L459" s="70">
        <f t="shared" si="110"/>
        <v>2058.48909568</v>
      </c>
      <c r="M459" s="70">
        <f t="shared" si="111"/>
        <v>0</v>
      </c>
      <c r="N459" s="70">
        <f t="shared" si="112"/>
        <v>2058.48909568</v>
      </c>
      <c r="O459" s="71">
        <f t="shared" si="113"/>
        <v>9.1909644430600431E-4</v>
      </c>
      <c r="P459" s="12"/>
      <c r="Q459" s="49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</row>
    <row r="460" spans="1:36" ht="20.100000000000001" customHeight="1" x14ac:dyDescent="0.25">
      <c r="A460" s="12"/>
      <c r="B460" s="67" t="s">
        <v>1179</v>
      </c>
      <c r="C460" s="67" t="s">
        <v>1180</v>
      </c>
      <c r="D460" s="67" t="s">
        <v>24</v>
      </c>
      <c r="E460" s="68" t="s">
        <v>1181</v>
      </c>
      <c r="F460" s="67" t="s">
        <v>89</v>
      </c>
      <c r="G460" s="69">
        <f>G458*100</f>
        <v>933.44</v>
      </c>
      <c r="H460" s="70">
        <v>10.49</v>
      </c>
      <c r="I460" s="70">
        <f>2.75*1.22</f>
        <v>3.355</v>
      </c>
      <c r="J460" s="70">
        <f>7.74*1.22</f>
        <v>9.4428000000000001</v>
      </c>
      <c r="K460" s="70">
        <f t="shared" si="109"/>
        <v>12.797800000000001</v>
      </c>
      <c r="L460" s="70">
        <f t="shared" si="110"/>
        <v>3131.6912000000002</v>
      </c>
      <c r="M460" s="70">
        <f t="shared" si="111"/>
        <v>8814.2872320000006</v>
      </c>
      <c r="N460" s="70">
        <f t="shared" si="112"/>
        <v>11945.978432</v>
      </c>
      <c r="O460" s="71">
        <f t="shared" si="113"/>
        <v>5.3337694737607801E-3</v>
      </c>
      <c r="P460" s="12"/>
      <c r="Q460" s="49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</row>
    <row r="461" spans="1:36" ht="20.100000000000001" customHeight="1" x14ac:dyDescent="0.25">
      <c r="A461" s="12"/>
      <c r="B461" s="67" t="s">
        <v>1182</v>
      </c>
      <c r="C461" s="67" t="s">
        <v>1183</v>
      </c>
      <c r="D461" s="67" t="s">
        <v>24</v>
      </c>
      <c r="E461" s="68" t="s">
        <v>1184</v>
      </c>
      <c r="F461" s="67" t="s">
        <v>1153</v>
      </c>
      <c r="G461" s="69">
        <f>(9.5+39+12.29+33.37+22.55+7.17-3-3-1.2)*0.4*0.2</f>
        <v>9.3344000000000005</v>
      </c>
      <c r="H461" s="70">
        <v>20.41</v>
      </c>
      <c r="I461" s="70">
        <f>8.57*1.22</f>
        <v>10.455400000000001</v>
      </c>
      <c r="J461" s="70">
        <f>11.84*1.22</f>
        <v>14.444799999999999</v>
      </c>
      <c r="K461" s="70">
        <f t="shared" si="109"/>
        <v>24.900199999999998</v>
      </c>
      <c r="L461" s="70">
        <f t="shared" si="110"/>
        <v>97.594885760000011</v>
      </c>
      <c r="M461" s="70">
        <f t="shared" si="111"/>
        <v>134.83354112000001</v>
      </c>
      <c r="N461" s="70">
        <f t="shared" si="112"/>
        <v>232.42842688000002</v>
      </c>
      <c r="O461" s="71">
        <f t="shared" si="113"/>
        <v>1.0377715439414445E-4</v>
      </c>
      <c r="P461" s="12"/>
      <c r="Q461" s="49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</row>
    <row r="462" spans="1:36" ht="20.100000000000001" customHeight="1" x14ac:dyDescent="0.25">
      <c r="A462" s="12"/>
      <c r="B462" s="67" t="s">
        <v>1185</v>
      </c>
      <c r="C462" s="67" t="s">
        <v>1186</v>
      </c>
      <c r="D462" s="67" t="s">
        <v>24</v>
      </c>
      <c r="E462" s="68" t="s">
        <v>1187</v>
      </c>
      <c r="F462" s="67" t="s">
        <v>1166</v>
      </c>
      <c r="G462" s="69">
        <f>G455/2</f>
        <v>7.0007999999999999</v>
      </c>
      <c r="H462" s="70">
        <v>19.989999999999998</v>
      </c>
      <c r="I462" s="70">
        <f>19.99*1.22</f>
        <v>24.387799999999999</v>
      </c>
      <c r="J462" s="70">
        <f>0*1.22</f>
        <v>0</v>
      </c>
      <c r="K462" s="70">
        <f t="shared" si="109"/>
        <v>24.387799999999999</v>
      </c>
      <c r="L462" s="70">
        <f t="shared" si="110"/>
        <v>170.73411023999998</v>
      </c>
      <c r="M462" s="70">
        <f t="shared" si="111"/>
        <v>0</v>
      </c>
      <c r="N462" s="70">
        <f t="shared" si="112"/>
        <v>170.73411023999998</v>
      </c>
      <c r="O462" s="71">
        <f t="shared" si="113"/>
        <v>7.6231209566595315E-5</v>
      </c>
      <c r="P462" s="12"/>
      <c r="Q462" s="49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</row>
    <row r="463" spans="1:36" ht="20.100000000000001" customHeight="1" x14ac:dyDescent="0.25">
      <c r="A463" s="12"/>
      <c r="B463" s="67" t="s">
        <v>1188</v>
      </c>
      <c r="C463" s="67" t="s">
        <v>1189</v>
      </c>
      <c r="D463" s="67" t="s">
        <v>24</v>
      </c>
      <c r="E463" s="68" t="s">
        <v>1190</v>
      </c>
      <c r="F463" s="67" t="s">
        <v>1153</v>
      </c>
      <c r="G463" s="69">
        <f>((9.5+39+12.29+33.37-3-3-1.2)*0.4)</f>
        <v>34.783999999999999</v>
      </c>
      <c r="H463" s="70">
        <v>132.47999999999999</v>
      </c>
      <c r="I463" s="70">
        <f>38.64*1.22</f>
        <v>47.140799999999999</v>
      </c>
      <c r="J463" s="70">
        <f>93.84*1.22</f>
        <v>114.48480000000001</v>
      </c>
      <c r="K463" s="70">
        <f t="shared" si="109"/>
        <v>161.62560000000002</v>
      </c>
      <c r="L463" s="70">
        <f t="shared" si="110"/>
        <v>1639.7455871999998</v>
      </c>
      <c r="M463" s="70">
        <f t="shared" si="111"/>
        <v>3982.2392832</v>
      </c>
      <c r="N463" s="70">
        <f t="shared" si="112"/>
        <v>5621.9848703999996</v>
      </c>
      <c r="O463" s="71">
        <f t="shared" si="113"/>
        <v>2.5101645256079825E-3</v>
      </c>
      <c r="P463" s="12"/>
      <c r="Q463" s="49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</row>
    <row r="464" spans="1:36" ht="20.100000000000001" customHeight="1" x14ac:dyDescent="0.25">
      <c r="A464" s="12"/>
      <c r="B464" s="67" t="s">
        <v>1188</v>
      </c>
      <c r="C464" s="67" t="s">
        <v>1191</v>
      </c>
      <c r="D464" s="67" t="s">
        <v>24</v>
      </c>
      <c r="E464" s="68" t="s">
        <v>1192</v>
      </c>
      <c r="F464" s="67" t="s">
        <v>1153</v>
      </c>
      <c r="G464" s="69">
        <f>((22.55+7.17)*2.2)</f>
        <v>65.384</v>
      </c>
      <c r="H464" s="70">
        <v>111.99</v>
      </c>
      <c r="I464" s="70">
        <f>38.64*1.22</f>
        <v>47.140799999999999</v>
      </c>
      <c r="J464" s="70">
        <f>73.35*1.22</f>
        <v>89.486999999999995</v>
      </c>
      <c r="K464" s="70">
        <f t="shared" si="109"/>
        <v>136.62779999999998</v>
      </c>
      <c r="L464" s="70">
        <f t="shared" si="110"/>
        <v>3082.2540672</v>
      </c>
      <c r="M464" s="70">
        <f t="shared" si="111"/>
        <v>5851.018008</v>
      </c>
      <c r="N464" s="70">
        <f t="shared" si="112"/>
        <v>8933.2720752000005</v>
      </c>
      <c r="O464" s="71">
        <f t="shared" si="113"/>
        <v>3.9886238006143901E-3</v>
      </c>
      <c r="P464" s="12"/>
      <c r="Q464" s="49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</row>
    <row r="465" spans="1:36" ht="20.100000000000001" customHeight="1" x14ac:dyDescent="0.25">
      <c r="A465" s="12"/>
      <c r="B465" s="67" t="s">
        <v>1193</v>
      </c>
      <c r="C465" s="67" t="s">
        <v>1194</v>
      </c>
      <c r="D465" s="67" t="s">
        <v>24</v>
      </c>
      <c r="E465" s="68" t="s">
        <v>1195</v>
      </c>
      <c r="F465" s="67" t="s">
        <v>1166</v>
      </c>
      <c r="G465" s="69">
        <f>(9.5+39+12.29+33.37+22.55+7.17-3-3-1.2)/3*0.2*0.2*0.4</f>
        <v>0.62229333333333336</v>
      </c>
      <c r="H465" s="70">
        <v>532.37</v>
      </c>
      <c r="I465" s="70">
        <f>128.58*1.22</f>
        <v>156.86760000000001</v>
      </c>
      <c r="J465" s="70">
        <f>403.79*1.22</f>
        <v>492.62380000000002</v>
      </c>
      <c r="K465" s="70">
        <f t="shared" si="109"/>
        <v>649.4914</v>
      </c>
      <c r="L465" s="70">
        <f t="shared" si="110"/>
        <v>97.617661696000013</v>
      </c>
      <c r="M465" s="70">
        <f t="shared" si="111"/>
        <v>306.55650658133334</v>
      </c>
      <c r="N465" s="70">
        <f t="shared" si="112"/>
        <v>404.17416827733337</v>
      </c>
      <c r="O465" s="71">
        <f t="shared" si="113"/>
        <v>1.804600479660646E-4</v>
      </c>
      <c r="P465" s="12"/>
      <c r="Q465" s="49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</row>
    <row r="466" spans="1:36" ht="20.100000000000001" customHeight="1" x14ac:dyDescent="0.25">
      <c r="A466" s="12"/>
      <c r="B466" s="67" t="s">
        <v>1196</v>
      </c>
      <c r="C466" s="67" t="s">
        <v>1197</v>
      </c>
      <c r="D466" s="67" t="s">
        <v>24</v>
      </c>
      <c r="E466" s="68" t="s">
        <v>1198</v>
      </c>
      <c r="F466" s="67" t="s">
        <v>1166</v>
      </c>
      <c r="G466" s="69">
        <f>G465</f>
        <v>0.62229333333333336</v>
      </c>
      <c r="H466" s="70">
        <v>124.86</v>
      </c>
      <c r="I466" s="70">
        <f>124.86*1.22</f>
        <v>152.32919999999999</v>
      </c>
      <c r="J466" s="70">
        <f>0*1.22</f>
        <v>0</v>
      </c>
      <c r="K466" s="70">
        <f t="shared" si="109"/>
        <v>152.32919999999999</v>
      </c>
      <c r="L466" s="70">
        <f t="shared" si="110"/>
        <v>94.793445632000001</v>
      </c>
      <c r="M466" s="70">
        <f t="shared" si="111"/>
        <v>0</v>
      </c>
      <c r="N466" s="70">
        <f t="shared" si="112"/>
        <v>94.793445632000001</v>
      </c>
      <c r="O466" s="71">
        <f t="shared" si="113"/>
        <v>4.2324401429537401E-5</v>
      </c>
      <c r="P466" s="12"/>
      <c r="Q466" s="49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</row>
    <row r="467" spans="1:36" ht="20.100000000000001" customHeight="1" x14ac:dyDescent="0.25">
      <c r="A467" s="12"/>
      <c r="B467" s="67" t="s">
        <v>1199</v>
      </c>
      <c r="C467" s="67" t="s">
        <v>1180</v>
      </c>
      <c r="D467" s="67" t="s">
        <v>24</v>
      </c>
      <c r="E467" s="68" t="s">
        <v>1181</v>
      </c>
      <c r="F467" s="67" t="s">
        <v>89</v>
      </c>
      <c r="G467" s="69">
        <f>G465*100</f>
        <v>62.229333333333336</v>
      </c>
      <c r="H467" s="70">
        <v>10.49</v>
      </c>
      <c r="I467" s="70">
        <f>2.75*1.22</f>
        <v>3.355</v>
      </c>
      <c r="J467" s="70">
        <f>7.74*1.22</f>
        <v>9.4428000000000001</v>
      </c>
      <c r="K467" s="70">
        <f t="shared" si="109"/>
        <v>12.797800000000001</v>
      </c>
      <c r="L467" s="70">
        <f t="shared" si="110"/>
        <v>208.77941333333334</v>
      </c>
      <c r="M467" s="70">
        <f t="shared" si="111"/>
        <v>587.61914880000006</v>
      </c>
      <c r="N467" s="70">
        <f t="shared" si="112"/>
        <v>796.39856213333337</v>
      </c>
      <c r="O467" s="71">
        <f t="shared" si="113"/>
        <v>3.5558463158405203E-4</v>
      </c>
      <c r="P467" s="12"/>
      <c r="Q467" s="49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</row>
    <row r="468" spans="1:36" ht="20.100000000000001" customHeight="1" x14ac:dyDescent="0.25">
      <c r="A468" s="12"/>
      <c r="B468" s="67" t="s">
        <v>1200</v>
      </c>
      <c r="C468" s="67" t="s">
        <v>1201</v>
      </c>
      <c r="D468" s="67" t="s">
        <v>24</v>
      </c>
      <c r="E468" s="68" t="s">
        <v>1202</v>
      </c>
      <c r="F468" s="67" t="s">
        <v>1153</v>
      </c>
      <c r="G468" s="69">
        <f>(9.5+39+12.29+33.37+22.55+7.17-3-3-1.2)/3*0.2*0.4</f>
        <v>3.1114666666666668</v>
      </c>
      <c r="H468" s="70">
        <v>257.97000000000003</v>
      </c>
      <c r="I468" s="70">
        <f>71.29*1.22</f>
        <v>86.973800000000011</v>
      </c>
      <c r="J468" s="70">
        <f>186.68*1.22</f>
        <v>227.74960000000002</v>
      </c>
      <c r="K468" s="70">
        <f t="shared" si="109"/>
        <v>314.72340000000003</v>
      </c>
      <c r="L468" s="70">
        <f t="shared" si="110"/>
        <v>270.61607957333337</v>
      </c>
      <c r="M468" s="70">
        <f t="shared" si="111"/>
        <v>708.63528874666679</v>
      </c>
      <c r="N468" s="70">
        <f t="shared" si="112"/>
        <v>979.25136832000021</v>
      </c>
      <c r="O468" s="71">
        <f t="shared" si="113"/>
        <v>4.3722672740580511E-4</v>
      </c>
      <c r="P468" s="12"/>
      <c r="Q468" s="49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</row>
    <row r="469" spans="1:36" ht="20.100000000000001" customHeight="1" x14ac:dyDescent="0.25">
      <c r="A469" s="12"/>
      <c r="B469" s="67" t="s">
        <v>1203</v>
      </c>
      <c r="C469" s="67" t="s">
        <v>1204</v>
      </c>
      <c r="D469" s="67" t="s">
        <v>24</v>
      </c>
      <c r="E469" s="68" t="s">
        <v>1205</v>
      </c>
      <c r="F469" s="67" t="s">
        <v>1153</v>
      </c>
      <c r="G469" s="69">
        <f>G463*2</f>
        <v>69.567999999999998</v>
      </c>
      <c r="H469" s="70">
        <v>7.33</v>
      </c>
      <c r="I469" s="70">
        <f>5.02*1.22</f>
        <v>6.1243999999999996</v>
      </c>
      <c r="J469" s="70">
        <f>2.31*1.22</f>
        <v>2.8182</v>
      </c>
      <c r="K469" s="70">
        <f t="shared" si="109"/>
        <v>8.9425999999999988</v>
      </c>
      <c r="L469" s="70">
        <f t="shared" si="110"/>
        <v>426.06225919999997</v>
      </c>
      <c r="M469" s="70">
        <f t="shared" si="111"/>
        <v>196.05653759999998</v>
      </c>
      <c r="N469" s="70">
        <f t="shared" si="112"/>
        <v>622.11879679999993</v>
      </c>
      <c r="O469" s="71">
        <f t="shared" si="113"/>
        <v>2.7777031963626981E-4</v>
      </c>
      <c r="P469" s="12"/>
      <c r="Q469" s="49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</row>
    <row r="470" spans="1:36" ht="20.100000000000001" customHeight="1" x14ac:dyDescent="0.25">
      <c r="A470" s="12"/>
      <c r="B470" s="67" t="s">
        <v>1206</v>
      </c>
      <c r="C470" s="67" t="s">
        <v>1207</v>
      </c>
      <c r="D470" s="67" t="s">
        <v>24</v>
      </c>
      <c r="E470" s="68" t="s">
        <v>1208</v>
      </c>
      <c r="F470" s="67" t="s">
        <v>1153</v>
      </c>
      <c r="G470" s="69">
        <f>G463*2</f>
        <v>69.567999999999998</v>
      </c>
      <c r="H470" s="70">
        <v>23.57</v>
      </c>
      <c r="I470" s="70">
        <f>13.79*1.22</f>
        <v>16.823799999999999</v>
      </c>
      <c r="J470" s="70">
        <f>9.78*1.22</f>
        <v>11.9316</v>
      </c>
      <c r="K470" s="70">
        <f t="shared" si="109"/>
        <v>28.755399999999998</v>
      </c>
      <c r="L470" s="70">
        <f t="shared" si="110"/>
        <v>1170.3981183999999</v>
      </c>
      <c r="M470" s="70">
        <f t="shared" si="111"/>
        <v>830.05754879999995</v>
      </c>
      <c r="N470" s="70">
        <f t="shared" si="112"/>
        <v>2000.4556671999999</v>
      </c>
      <c r="O470" s="71">
        <f t="shared" si="113"/>
        <v>8.9318505236383073E-4</v>
      </c>
      <c r="P470" s="12"/>
      <c r="Q470" s="49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</row>
    <row r="471" spans="1:36" ht="20.100000000000001" customHeight="1" x14ac:dyDescent="0.25">
      <c r="A471" s="12"/>
      <c r="B471" s="67" t="s">
        <v>1209</v>
      </c>
      <c r="C471" s="67" t="s">
        <v>1210</v>
      </c>
      <c r="D471" s="67" t="s">
        <v>24</v>
      </c>
      <c r="E471" s="68" t="s">
        <v>1211</v>
      </c>
      <c r="F471" s="67" t="s">
        <v>1153</v>
      </c>
      <c r="G471" s="69">
        <f>G463*2</f>
        <v>69.567999999999998</v>
      </c>
      <c r="H471" s="70">
        <v>13.82</v>
      </c>
      <c r="I471" s="70">
        <f>11.88*1.22</f>
        <v>14.493600000000001</v>
      </c>
      <c r="J471" s="70">
        <f>1.94*1.22</f>
        <v>2.3668</v>
      </c>
      <c r="K471" s="70">
        <f t="shared" si="109"/>
        <v>16.860400000000002</v>
      </c>
      <c r="L471" s="70">
        <f t="shared" si="110"/>
        <v>1008.2907648</v>
      </c>
      <c r="M471" s="70">
        <f t="shared" si="111"/>
        <v>164.65354239999999</v>
      </c>
      <c r="N471" s="70">
        <f t="shared" si="112"/>
        <v>1172.9443071999999</v>
      </c>
      <c r="O471" s="71">
        <f t="shared" si="96"/>
        <v>5.2370884275214856E-4</v>
      </c>
      <c r="P471" s="12"/>
      <c r="Q471" s="49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</row>
    <row r="472" spans="1:36" ht="15.75" customHeight="1" x14ac:dyDescent="0.25">
      <c r="A472" s="12"/>
      <c r="B472" s="87"/>
      <c r="C472" s="87"/>
      <c r="D472" s="87"/>
      <c r="E472" s="87"/>
      <c r="F472" s="87"/>
      <c r="G472" s="88"/>
      <c r="H472" s="87"/>
      <c r="I472" s="87"/>
      <c r="J472" s="87"/>
      <c r="K472" s="87"/>
      <c r="L472" s="103" t="s">
        <v>1212</v>
      </c>
      <c r="M472" s="103"/>
      <c r="N472" s="89">
        <f>[1]RESUMO!E39</f>
        <v>2239687.8025508341</v>
      </c>
      <c r="O472" s="90">
        <f t="shared" si="96"/>
        <v>1</v>
      </c>
      <c r="P472" s="12"/>
      <c r="Q472" s="33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</row>
    <row r="473" spans="1:36" ht="15.75" customHeight="1" x14ac:dyDescent="0.25">
      <c r="A473" s="12"/>
      <c r="B473" s="91"/>
      <c r="C473" s="91"/>
      <c r="D473" s="91"/>
      <c r="E473" s="91"/>
      <c r="F473" s="91"/>
      <c r="G473" s="92"/>
      <c r="H473" s="91"/>
      <c r="I473" s="91"/>
      <c r="J473" s="91"/>
      <c r="K473" s="91"/>
      <c r="L473" s="91"/>
      <c r="M473" s="91"/>
      <c r="N473" s="91"/>
      <c r="O473" s="91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</row>
    <row r="474" spans="1:36" ht="15.75" customHeight="1" x14ac:dyDescent="0.25">
      <c r="A474" s="12"/>
      <c r="B474" s="103"/>
      <c r="C474" s="103"/>
      <c r="D474" s="103"/>
      <c r="E474" s="93"/>
      <c r="F474" s="87"/>
      <c r="G474" s="88"/>
      <c r="H474" s="87"/>
      <c r="I474" s="87"/>
      <c r="J474" s="87"/>
      <c r="K474" s="104"/>
      <c r="L474" s="103"/>
      <c r="M474" s="105"/>
      <c r="N474" s="103"/>
      <c r="O474" s="103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</row>
    <row r="475" spans="1:36" ht="15.75" customHeight="1" x14ac:dyDescent="0.25">
      <c r="A475" s="12"/>
      <c r="B475" s="103"/>
      <c r="C475" s="103"/>
      <c r="D475" s="103"/>
      <c r="E475" s="93"/>
      <c r="F475" s="87"/>
      <c r="G475" s="88"/>
      <c r="H475" s="87"/>
      <c r="I475" s="87"/>
      <c r="J475" s="87"/>
      <c r="K475" s="104"/>
      <c r="L475" s="103"/>
      <c r="M475" s="105"/>
      <c r="N475" s="103"/>
      <c r="O475" s="103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</row>
    <row r="476" spans="1:36" ht="15.75" customHeight="1" x14ac:dyDescent="0.25">
      <c r="A476" s="12"/>
      <c r="B476" s="103"/>
      <c r="C476" s="103"/>
      <c r="D476" s="103"/>
      <c r="E476" s="93"/>
      <c r="F476" s="87"/>
      <c r="G476" s="88"/>
      <c r="H476" s="87"/>
      <c r="I476" s="87"/>
      <c r="J476" s="87"/>
      <c r="K476" s="104"/>
      <c r="L476" s="103"/>
      <c r="M476" s="105"/>
      <c r="N476" s="103"/>
      <c r="O476" s="103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</row>
    <row r="477" spans="1:36" ht="15.75" customHeight="1" x14ac:dyDescent="0.25">
      <c r="A477" s="12"/>
      <c r="B477" s="12"/>
      <c r="C477" s="12"/>
      <c r="D477" s="12"/>
      <c r="E477" s="12"/>
      <c r="F477" s="12"/>
      <c r="G477" s="26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</row>
    <row r="478" spans="1:36" ht="15.75" customHeight="1" thickBot="1" x14ac:dyDescent="0.3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</row>
    <row r="479" spans="1:36" ht="15.75" customHeight="1" x14ac:dyDescent="0.25">
      <c r="A479" s="12"/>
      <c r="B479" s="12"/>
      <c r="C479" s="12"/>
      <c r="D479" s="26"/>
      <c r="E479" s="94"/>
      <c r="F479" s="94"/>
      <c r="G479" s="94"/>
      <c r="H479" s="94"/>
      <c r="I479" s="94"/>
      <c r="J479" s="95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</row>
    <row r="480" spans="1:36" ht="15.75" customHeight="1" x14ac:dyDescent="0.25">
      <c r="A480" s="12"/>
      <c r="B480" s="12"/>
      <c r="C480" s="12"/>
      <c r="D480" s="26"/>
      <c r="E480" s="99" t="s">
        <v>1213</v>
      </c>
      <c r="F480" s="100"/>
      <c r="G480" s="100"/>
      <c r="H480" s="100"/>
      <c r="I480" s="101"/>
      <c r="J480" s="95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</row>
    <row r="481" spans="1:36" ht="15.75" customHeight="1" x14ac:dyDescent="0.25">
      <c r="A481" s="12"/>
      <c r="B481" s="12"/>
      <c r="C481" s="12"/>
      <c r="D481" s="26"/>
      <c r="E481" s="102" t="s">
        <v>1214</v>
      </c>
      <c r="F481" s="100"/>
      <c r="G481" s="100"/>
      <c r="H481" s="100"/>
      <c r="I481" s="101"/>
      <c r="J481" s="95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</row>
    <row r="482" spans="1:36" ht="15.75" customHeight="1" x14ac:dyDescent="0.25">
      <c r="A482" s="12"/>
      <c r="B482" s="12"/>
      <c r="C482" s="12"/>
      <c r="D482" s="96"/>
      <c r="E482" s="97"/>
      <c r="F482" s="97"/>
      <c r="G482" s="97"/>
      <c r="H482" s="97"/>
      <c r="I482" s="97"/>
      <c r="J482" s="95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</row>
    <row r="483" spans="1:36" ht="15.75" customHeight="1" x14ac:dyDescent="0.25">
      <c r="A483" s="12"/>
      <c r="B483" s="12"/>
      <c r="C483" s="12"/>
      <c r="D483" s="26"/>
      <c r="E483" s="95"/>
      <c r="F483" s="95"/>
      <c r="G483" s="95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</row>
    <row r="484" spans="1:36" ht="15.75" customHeight="1" x14ac:dyDescent="0.25">
      <c r="A484" s="12"/>
      <c r="B484" s="12"/>
      <c r="C484" s="12"/>
      <c r="D484" s="26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</row>
    <row r="485" spans="1:36" ht="15.75" customHeight="1" x14ac:dyDescent="0.25">
      <c r="A485" s="12"/>
      <c r="B485" s="12"/>
      <c r="C485" s="12"/>
      <c r="D485" s="26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</row>
    <row r="486" spans="1:36" ht="15.75" customHeight="1" x14ac:dyDescent="0.25">
      <c r="A486" s="12"/>
      <c r="B486" s="12"/>
      <c r="C486" s="12"/>
      <c r="D486" s="26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</row>
    <row r="487" spans="1:36" ht="15.75" customHeight="1" x14ac:dyDescent="0.25">
      <c r="A487" s="12"/>
      <c r="B487" s="12"/>
      <c r="C487" s="12"/>
      <c r="D487" s="26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</row>
    <row r="488" spans="1:36" ht="15.75" customHeight="1" x14ac:dyDescent="0.25">
      <c r="A488" s="12"/>
      <c r="B488" s="12"/>
      <c r="C488" s="12"/>
      <c r="D488" s="26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</row>
    <row r="489" spans="1:36" ht="15.75" customHeight="1" x14ac:dyDescent="0.25">
      <c r="A489" s="12"/>
      <c r="B489" s="12"/>
      <c r="C489" s="12"/>
      <c r="D489" s="26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</row>
    <row r="490" spans="1:36" ht="15.75" customHeight="1" x14ac:dyDescent="0.25">
      <c r="A490" s="12"/>
      <c r="B490" s="12"/>
      <c r="C490" s="12"/>
      <c r="D490" s="26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</row>
    <row r="491" spans="1:36" ht="15.75" customHeight="1" x14ac:dyDescent="0.25">
      <c r="A491" s="12"/>
      <c r="B491" s="12"/>
      <c r="C491" s="12"/>
      <c r="D491" s="26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</row>
    <row r="492" spans="1:36" ht="15.75" customHeight="1" x14ac:dyDescent="0.25">
      <c r="A492" s="12"/>
      <c r="B492" s="12"/>
      <c r="C492" s="12"/>
      <c r="D492" s="26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</row>
    <row r="493" spans="1:36" ht="15.75" customHeight="1" x14ac:dyDescent="0.25">
      <c r="A493" s="12"/>
      <c r="B493" s="12"/>
      <c r="C493" s="12"/>
      <c r="D493" s="26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</row>
    <row r="494" spans="1:36" ht="15.75" customHeight="1" x14ac:dyDescent="0.25">
      <c r="A494" s="12"/>
      <c r="B494" s="12"/>
      <c r="C494" s="12"/>
      <c r="D494" s="12"/>
      <c r="E494" s="12"/>
      <c r="F494" s="12"/>
      <c r="G494" s="26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</row>
    <row r="495" spans="1:36" ht="15.75" customHeight="1" x14ac:dyDescent="0.25">
      <c r="A495" s="12"/>
      <c r="B495" s="12"/>
      <c r="C495" s="12"/>
      <c r="D495" s="12"/>
      <c r="E495" s="12"/>
      <c r="F495" s="12"/>
      <c r="G495" s="26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</row>
    <row r="496" spans="1:36" ht="15.75" customHeight="1" x14ac:dyDescent="0.25">
      <c r="A496" s="12"/>
      <c r="B496" s="12"/>
      <c r="C496" s="12"/>
      <c r="D496" s="12"/>
      <c r="E496" s="12"/>
      <c r="F496" s="12"/>
      <c r="G496" s="26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</row>
    <row r="497" spans="1:36" ht="15.75" customHeight="1" x14ac:dyDescent="0.25">
      <c r="A497" s="12"/>
      <c r="B497" s="12"/>
      <c r="C497" s="12"/>
      <c r="D497" s="12"/>
      <c r="E497" s="12"/>
      <c r="F497" s="12"/>
      <c r="G497" s="26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</row>
    <row r="498" spans="1:36" ht="15.75" customHeight="1" x14ac:dyDescent="0.25">
      <c r="A498" s="12"/>
      <c r="B498" s="12"/>
      <c r="C498" s="12"/>
      <c r="D498" s="12"/>
      <c r="E498" s="12"/>
      <c r="F498" s="12"/>
      <c r="G498" s="26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</row>
    <row r="499" spans="1:36" ht="15.75" customHeight="1" x14ac:dyDescent="0.25">
      <c r="A499" s="12"/>
      <c r="B499" s="12"/>
      <c r="C499" s="12"/>
      <c r="D499" s="12"/>
      <c r="E499" s="12"/>
      <c r="F499" s="12"/>
      <c r="G499" s="26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</row>
    <row r="500" spans="1:36" ht="15.75" customHeight="1" x14ac:dyDescent="0.25">
      <c r="A500" s="12"/>
      <c r="B500" s="12"/>
      <c r="C500" s="12"/>
      <c r="D500" s="12"/>
      <c r="E500" s="12"/>
      <c r="F500" s="12"/>
      <c r="G500" s="26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</row>
    <row r="501" spans="1:36" ht="15.75" customHeight="1" x14ac:dyDescent="0.25">
      <c r="A501" s="12"/>
      <c r="B501" s="12"/>
      <c r="C501" s="12"/>
      <c r="D501" s="12"/>
      <c r="E501" s="12"/>
      <c r="F501" s="12"/>
      <c r="G501" s="26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</row>
    <row r="502" spans="1:36" ht="15.75" customHeight="1" x14ac:dyDescent="0.25">
      <c r="A502" s="12"/>
      <c r="B502" s="12"/>
      <c r="C502" s="12"/>
      <c r="D502" s="12"/>
      <c r="E502" s="12"/>
      <c r="F502" s="12"/>
      <c r="G502" s="26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</row>
    <row r="503" spans="1:36" ht="15.75" customHeight="1" x14ac:dyDescent="0.25">
      <c r="A503" s="12"/>
      <c r="B503" s="12"/>
      <c r="C503" s="12"/>
      <c r="D503" s="12"/>
      <c r="E503" s="12"/>
      <c r="F503" s="12"/>
      <c r="G503" s="26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</row>
    <row r="504" spans="1:36" ht="15.75" customHeight="1" x14ac:dyDescent="0.25">
      <c r="A504" s="12"/>
      <c r="B504" s="12"/>
      <c r="C504" s="12"/>
      <c r="D504" s="12"/>
      <c r="E504" s="12"/>
      <c r="F504" s="12"/>
      <c r="G504" s="26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</row>
    <row r="505" spans="1:36" ht="15.75" customHeight="1" x14ac:dyDescent="0.25">
      <c r="A505" s="12"/>
      <c r="B505" s="12"/>
      <c r="C505" s="12"/>
      <c r="D505" s="12"/>
      <c r="E505" s="12"/>
      <c r="F505" s="12"/>
      <c r="G505" s="26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</row>
    <row r="506" spans="1:36" ht="15.75" customHeight="1" x14ac:dyDescent="0.25">
      <c r="A506" s="12"/>
      <c r="B506" s="12"/>
      <c r="C506" s="12"/>
      <c r="D506" s="12"/>
      <c r="E506" s="12"/>
      <c r="F506" s="12"/>
      <c r="G506" s="26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</row>
    <row r="507" spans="1:36" ht="15.75" customHeight="1" x14ac:dyDescent="0.25">
      <c r="A507" s="12"/>
      <c r="B507" s="12"/>
      <c r="C507" s="12"/>
      <c r="D507" s="12"/>
      <c r="E507" s="12"/>
      <c r="F507" s="12"/>
      <c r="G507" s="26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</row>
    <row r="508" spans="1:36" ht="15.75" customHeight="1" x14ac:dyDescent="0.25">
      <c r="A508" s="12"/>
      <c r="B508" s="12"/>
      <c r="C508" s="12"/>
      <c r="D508" s="12"/>
      <c r="E508" s="12"/>
      <c r="F508" s="12"/>
      <c r="G508" s="26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</row>
    <row r="509" spans="1:36" ht="15.75" customHeight="1" x14ac:dyDescent="0.25">
      <c r="A509" s="12"/>
      <c r="B509" s="12"/>
      <c r="C509" s="12"/>
      <c r="D509" s="12"/>
      <c r="E509" s="12"/>
      <c r="F509" s="12"/>
      <c r="G509" s="26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</row>
    <row r="510" spans="1:36" ht="15.75" customHeight="1" x14ac:dyDescent="0.25">
      <c r="A510" s="12"/>
      <c r="B510" s="12"/>
      <c r="C510" s="12"/>
      <c r="D510" s="12"/>
      <c r="E510" s="12"/>
      <c r="F510" s="12"/>
      <c r="G510" s="26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</row>
    <row r="511" spans="1:36" ht="15.75" customHeight="1" x14ac:dyDescent="0.25">
      <c r="A511" s="12"/>
      <c r="B511" s="12"/>
      <c r="C511" s="12"/>
      <c r="D511" s="12"/>
      <c r="E511" s="12"/>
      <c r="F511" s="12"/>
      <c r="G511" s="26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</row>
    <row r="512" spans="1:36" ht="15.75" customHeight="1" x14ac:dyDescent="0.25">
      <c r="A512" s="12"/>
      <c r="B512" s="12"/>
      <c r="C512" s="12"/>
      <c r="D512" s="12"/>
      <c r="E512" s="12"/>
      <c r="F512" s="12"/>
      <c r="G512" s="26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</row>
    <row r="513" spans="1:36" ht="15.75" customHeight="1" x14ac:dyDescent="0.25">
      <c r="A513" s="12"/>
      <c r="B513" s="12"/>
      <c r="C513" s="12"/>
      <c r="D513" s="12"/>
      <c r="E513" s="12"/>
      <c r="F513" s="12"/>
      <c r="G513" s="26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</row>
    <row r="514" spans="1:36" ht="15.75" customHeight="1" x14ac:dyDescent="0.25">
      <c r="A514" s="12"/>
      <c r="B514" s="12"/>
      <c r="C514" s="12"/>
      <c r="D514" s="12"/>
      <c r="E514" s="12"/>
      <c r="F514" s="12"/>
      <c r="G514" s="26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</row>
    <row r="515" spans="1:36" ht="15.75" customHeight="1" x14ac:dyDescent="0.25">
      <c r="A515" s="12"/>
      <c r="B515" s="12"/>
      <c r="C515" s="12"/>
      <c r="D515" s="12"/>
      <c r="E515" s="12"/>
      <c r="F515" s="12"/>
      <c r="G515" s="26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</row>
    <row r="516" spans="1:36" ht="15.75" customHeight="1" x14ac:dyDescent="0.25">
      <c r="A516" s="12"/>
      <c r="B516" s="12"/>
      <c r="C516" s="12"/>
      <c r="D516" s="12"/>
      <c r="E516" s="12"/>
      <c r="F516" s="12"/>
      <c r="G516" s="26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</row>
    <row r="517" spans="1:36" ht="15.75" customHeight="1" x14ac:dyDescent="0.25">
      <c r="A517" s="12"/>
      <c r="B517" s="12"/>
      <c r="C517" s="12"/>
      <c r="D517" s="12"/>
      <c r="E517" s="12"/>
      <c r="F517" s="12"/>
      <c r="G517" s="26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</row>
    <row r="518" spans="1:36" ht="15.75" customHeight="1" x14ac:dyDescent="0.25">
      <c r="A518" s="12"/>
      <c r="B518" s="12"/>
      <c r="C518" s="12"/>
      <c r="D518" s="12"/>
      <c r="E518" s="12"/>
      <c r="F518" s="12"/>
      <c r="G518" s="26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</row>
    <row r="519" spans="1:36" ht="15.75" customHeight="1" x14ac:dyDescent="0.25">
      <c r="A519" s="12"/>
      <c r="B519" s="12"/>
      <c r="C519" s="12"/>
      <c r="D519" s="12"/>
      <c r="E519" s="12"/>
      <c r="F519" s="12"/>
      <c r="G519" s="26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</row>
    <row r="520" spans="1:36" ht="15.75" customHeight="1" x14ac:dyDescent="0.25">
      <c r="A520" s="12"/>
      <c r="B520" s="12"/>
      <c r="C520" s="12"/>
      <c r="D520" s="12"/>
      <c r="E520" s="12"/>
      <c r="F520" s="12"/>
      <c r="G520" s="26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</row>
    <row r="521" spans="1:36" ht="15.75" customHeight="1" x14ac:dyDescent="0.25">
      <c r="A521" s="12"/>
      <c r="B521" s="12"/>
      <c r="C521" s="12"/>
      <c r="D521" s="12"/>
      <c r="E521" s="12"/>
      <c r="F521" s="12"/>
      <c r="G521" s="26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</row>
    <row r="522" spans="1:36" ht="15.75" customHeight="1" x14ac:dyDescent="0.25">
      <c r="A522" s="12"/>
      <c r="B522" s="12"/>
      <c r="C522" s="12"/>
      <c r="D522" s="12"/>
      <c r="E522" s="12"/>
      <c r="F522" s="12"/>
      <c r="G522" s="26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</row>
    <row r="523" spans="1:36" ht="15.75" customHeight="1" x14ac:dyDescent="0.25">
      <c r="A523" s="12"/>
      <c r="B523" s="12"/>
      <c r="C523" s="12"/>
      <c r="D523" s="12"/>
      <c r="E523" s="12"/>
      <c r="F523" s="12"/>
      <c r="G523" s="26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</row>
    <row r="524" spans="1:36" ht="15.75" customHeight="1" x14ac:dyDescent="0.25">
      <c r="A524" s="12"/>
      <c r="B524" s="12"/>
      <c r="C524" s="12"/>
      <c r="D524" s="12"/>
      <c r="E524" s="12"/>
      <c r="F524" s="12"/>
      <c r="G524" s="26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</row>
    <row r="525" spans="1:36" ht="15.75" customHeight="1" x14ac:dyDescent="0.25">
      <c r="A525" s="12"/>
      <c r="B525" s="12"/>
      <c r="C525" s="12"/>
      <c r="D525" s="12"/>
      <c r="E525" s="12"/>
      <c r="F525" s="12"/>
      <c r="G525" s="26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</row>
    <row r="526" spans="1:36" ht="15.75" customHeight="1" x14ac:dyDescent="0.25">
      <c r="A526" s="12"/>
      <c r="B526" s="12"/>
      <c r="C526" s="12"/>
      <c r="D526" s="12"/>
      <c r="E526" s="12"/>
      <c r="F526" s="12"/>
      <c r="G526" s="26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</row>
    <row r="527" spans="1:36" ht="15.75" customHeight="1" x14ac:dyDescent="0.25">
      <c r="A527" s="12"/>
      <c r="B527" s="12"/>
      <c r="C527" s="12"/>
      <c r="D527" s="12"/>
      <c r="E527" s="12"/>
      <c r="F527" s="12"/>
      <c r="G527" s="26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</row>
    <row r="528" spans="1:36" ht="15.75" customHeight="1" x14ac:dyDescent="0.25">
      <c r="A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</row>
    <row r="529" spans="1:36" ht="15.75" customHeight="1" x14ac:dyDescent="0.25">
      <c r="A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</row>
    <row r="530" spans="1:36" ht="15.75" customHeight="1" x14ac:dyDescent="0.25">
      <c r="A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</row>
    <row r="531" spans="1:36" ht="15.75" customHeight="1" x14ac:dyDescent="0.25">
      <c r="A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</row>
    <row r="532" spans="1:36" ht="15.75" customHeight="1" x14ac:dyDescent="0.25">
      <c r="A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</row>
    <row r="533" spans="1:36" ht="15.75" customHeight="1" x14ac:dyDescent="0.25">
      <c r="A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</row>
    <row r="534" spans="1:36" ht="15.75" customHeight="1" x14ac:dyDescent="0.25">
      <c r="A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</row>
  </sheetData>
  <autoFilter ref="A20:AG450"/>
  <mergeCells count="28">
    <mergeCell ref="B16:E16"/>
    <mergeCell ref="B2:O6"/>
    <mergeCell ref="B11:E11"/>
    <mergeCell ref="B12:E12"/>
    <mergeCell ref="B13:E13"/>
    <mergeCell ref="B14:E14"/>
    <mergeCell ref="B474:D474"/>
    <mergeCell ref="K474:L474"/>
    <mergeCell ref="M474:O474"/>
    <mergeCell ref="B18:B19"/>
    <mergeCell ref="C18:C19"/>
    <mergeCell ref="D18:D19"/>
    <mergeCell ref="E18:E19"/>
    <mergeCell ref="F18:F19"/>
    <mergeCell ref="G18:G19"/>
    <mergeCell ref="H18:H19"/>
    <mergeCell ref="I18:K18"/>
    <mergeCell ref="L18:N18"/>
    <mergeCell ref="O18:O19"/>
    <mergeCell ref="L472:M472"/>
    <mergeCell ref="E480:I480"/>
    <mergeCell ref="E481:I481"/>
    <mergeCell ref="B475:D475"/>
    <mergeCell ref="K475:L475"/>
    <mergeCell ref="M475:O475"/>
    <mergeCell ref="B476:D476"/>
    <mergeCell ref="K476:L476"/>
    <mergeCell ref="M476:O476"/>
  </mergeCells>
  <printOptions horizontalCentered="1"/>
  <pageMargins left="0.7" right="0.7" top="0.75" bottom="0.75" header="0.3" footer="0.3"/>
  <pageSetup paperSize="9" scale="2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7</vt:i4>
      </vt:variant>
    </vt:vector>
  </HeadingPairs>
  <TitlesOfParts>
    <vt:vector size="8" baseType="lpstr">
      <vt:lpstr>ORC. SINTÉTICO</vt:lpstr>
      <vt:lpstr>'ORC. SINTÉTICO'!Titulos_de_impressao</vt:lpstr>
      <vt:lpstr>'ORC. SINTÉTICO'!Z_12538664_79C6_4AAD_BD81_5363A5F496D7_.wvu.PrintArea</vt:lpstr>
      <vt:lpstr>'ORC. SINTÉTICO'!Z_12538664_79C6_4AAD_BD81_5363A5F496D7_.wvu.Rows</vt:lpstr>
      <vt:lpstr>'ORC. SINTÉTICO'!Z_18D9C5C8_6EC0_4507_ACF1_BEE4D54D4AE8_.wvu.PrintArea</vt:lpstr>
      <vt:lpstr>'ORC. SINTÉTICO'!Z_18D9C5C8_6EC0_4507_ACF1_BEE4D54D4AE8_.wvu.Rows</vt:lpstr>
      <vt:lpstr>'ORC. SINTÉTICO'!Z_CA485D5E_5C09_4636_B7A6_10EC2B405CCB_.wvu.PrintArea</vt:lpstr>
      <vt:lpstr>'ORC. SINTÉTICO'!Z_CA485D5E_5C09_4636_B7A6_10EC2B405CCB_.wvu.Rows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Luciele</cp:lastModifiedBy>
  <dcterms:created xsi:type="dcterms:W3CDTF">2025-03-26T14:30:58Z</dcterms:created>
  <dcterms:modified xsi:type="dcterms:W3CDTF">2025-03-26T20:28:59Z</dcterms:modified>
</cp:coreProperties>
</file>